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600" windowHeight="11760" activeTab="0"/>
  </bookViews>
  <sheets>
    <sheet name="ReadMe" sheetId="1" r:id="rId1"/>
    <sheet name="protein_summary" sheetId="2" r:id="rId2"/>
    <sheet name="quantitative_summary" sheetId="3" r:id="rId3"/>
  </sheets>
  <definedNames>
    <definedName name="_xlnm._FilterDatabase" localSheetId="1" hidden="1">'protein_summary'!$A$9:$S$9</definedName>
  </definedNames>
  <calcPr fullCalcOnLoad="1"/>
</workbook>
</file>

<file path=xl/comments2.xml><?xml version="1.0" encoding="utf-8"?>
<comments xmlns="http://schemas.openxmlformats.org/spreadsheetml/2006/main">
  <authors>
    <author>Phil W.</author>
  </authors>
  <commentList>
    <comment ref="R8" authorId="0">
      <text>
        <r>
          <rPr>
            <b/>
            <sz val="8"/>
            <rFont val="Tahoma"/>
            <family val="0"/>
          </rPr>
          <t>Phil W.:</t>
        </r>
        <r>
          <rPr>
            <sz val="8"/>
            <rFont val="Tahoma"/>
            <family val="0"/>
          </rPr>
          <t xml:space="preserve">
Corrected total spectral count where any shared peptide counts have been fractionally split between the proteins that they map to on the basis of the relative unique counts of those proteins.</t>
        </r>
      </text>
    </comment>
    <comment ref="Q8" authorId="0">
      <text>
        <r>
          <rPr>
            <b/>
            <sz val="8"/>
            <rFont val="Tahoma"/>
            <family val="0"/>
          </rPr>
          <t>Phil W.:</t>
        </r>
        <r>
          <rPr>
            <sz val="8"/>
            <rFont val="Tahoma"/>
            <family val="0"/>
          </rPr>
          <t xml:space="preserve">
Corrected total spectral count where any shared peptide counts have been fractionally split between the proteins that they map to on the basis of the relative unique counts of those proteins.</t>
        </r>
      </text>
    </comment>
    <comment ref="S9" authorId="0">
      <text>
        <r>
          <rPr>
            <b/>
            <sz val="8"/>
            <rFont val="Tahoma"/>
            <family val="0"/>
          </rPr>
          <t>Phil W.:</t>
        </r>
        <r>
          <rPr>
            <sz val="8"/>
            <rFont val="Tahoma"/>
            <family val="0"/>
          </rPr>
          <t xml:space="preserve">
List of all other proteins containing any shared peptides with the respective protein.</t>
        </r>
      </text>
    </comment>
    <comment ref="R9" authorId="0">
      <text>
        <r>
          <rPr>
            <b/>
            <sz val="8"/>
            <rFont val="Tahoma"/>
            <family val="0"/>
          </rPr>
          <t>Phil W.:</t>
        </r>
        <r>
          <rPr>
            <sz val="8"/>
            <rFont val="Tahoma"/>
            <family val="0"/>
          </rPr>
          <t xml:space="preserve">
30 HBO treatment sample.</t>
        </r>
      </text>
    </comment>
    <comment ref="P9" authorId="0">
      <text>
        <r>
          <rPr>
            <b/>
            <sz val="8"/>
            <rFont val="Tahoma"/>
            <family val="0"/>
          </rPr>
          <t>Phil W.:</t>
        </r>
        <r>
          <rPr>
            <sz val="8"/>
            <rFont val="Tahoma"/>
            <family val="0"/>
          </rPr>
          <t xml:space="preserve">
30 HBO treatment sample.</t>
        </r>
      </text>
    </comment>
    <comment ref="N9" authorId="0">
      <text>
        <r>
          <rPr>
            <b/>
            <sz val="8"/>
            <rFont val="Tahoma"/>
            <family val="0"/>
          </rPr>
          <t>Phil W.:</t>
        </r>
        <r>
          <rPr>
            <sz val="8"/>
            <rFont val="Tahoma"/>
            <family val="0"/>
          </rPr>
          <t xml:space="preserve">
30 HBO treatment sample.</t>
        </r>
      </text>
    </comment>
    <comment ref="M9" authorId="0">
      <text>
        <r>
          <rPr>
            <b/>
            <sz val="8"/>
            <rFont val="Tahoma"/>
            <family val="0"/>
          </rPr>
          <t>Phil W.:</t>
        </r>
        <r>
          <rPr>
            <sz val="8"/>
            <rFont val="Tahoma"/>
            <family val="0"/>
          </rPr>
          <t xml:space="preserve">
Control sample.</t>
        </r>
      </text>
    </comment>
    <comment ref="Q9" authorId="0">
      <text>
        <r>
          <rPr>
            <b/>
            <sz val="8"/>
            <rFont val="Tahoma"/>
            <family val="0"/>
          </rPr>
          <t>Phil W.:</t>
        </r>
        <r>
          <rPr>
            <sz val="8"/>
            <rFont val="Tahoma"/>
            <family val="0"/>
          </rPr>
          <t xml:space="preserve">
Control sample.</t>
        </r>
      </text>
    </comment>
    <comment ref="O9" authorId="0">
      <text>
        <r>
          <rPr>
            <b/>
            <sz val="8"/>
            <rFont val="Tahoma"/>
            <family val="0"/>
          </rPr>
          <t>Phil W.:</t>
        </r>
        <r>
          <rPr>
            <sz val="8"/>
            <rFont val="Tahoma"/>
            <family val="0"/>
          </rPr>
          <t xml:space="preserve">
Control sample.</t>
        </r>
      </text>
    </comment>
    <comment ref="P8" authorId="0">
      <text>
        <r>
          <rPr>
            <b/>
            <sz val="8"/>
            <rFont val="Tahoma"/>
            <family val="0"/>
          </rPr>
          <t>Phil W.:</t>
        </r>
        <r>
          <rPr>
            <sz val="8"/>
            <rFont val="Tahoma"/>
            <family val="0"/>
          </rPr>
          <t xml:space="preserve">
Total unique spectral counts.</t>
        </r>
      </text>
    </comment>
    <comment ref="O8" authorId="0">
      <text>
        <r>
          <rPr>
            <b/>
            <sz val="8"/>
            <rFont val="Tahoma"/>
            <family val="0"/>
          </rPr>
          <t>Phil W.:</t>
        </r>
        <r>
          <rPr>
            <sz val="8"/>
            <rFont val="Tahoma"/>
            <family val="0"/>
          </rPr>
          <t xml:space="preserve">
Total unique spectral count.</t>
        </r>
      </text>
    </comment>
    <comment ref="N8" authorId="0">
      <text>
        <r>
          <rPr>
            <b/>
            <sz val="8"/>
            <rFont val="Tahoma"/>
            <family val="0"/>
          </rPr>
          <t>Phil W.:</t>
        </r>
        <r>
          <rPr>
            <sz val="8"/>
            <rFont val="Tahoma"/>
            <family val="0"/>
          </rPr>
          <t xml:space="preserve">
Total spectral count.</t>
        </r>
      </text>
    </comment>
    <comment ref="M8" authorId="0">
      <text>
        <r>
          <rPr>
            <b/>
            <sz val="8"/>
            <rFont val="Tahoma"/>
            <family val="0"/>
          </rPr>
          <t>Phil W.:</t>
        </r>
        <r>
          <rPr>
            <sz val="8"/>
            <rFont val="Tahoma"/>
            <family val="0"/>
          </rPr>
          <t xml:space="preserve">
Total spectral count.</t>
        </r>
      </text>
    </comment>
    <comment ref="L9" authorId="0">
      <text>
        <r>
          <rPr>
            <b/>
            <sz val="8"/>
            <rFont val="Tahoma"/>
            <family val="0"/>
          </rPr>
          <t>Phil W.:</t>
        </r>
        <r>
          <rPr>
            <sz val="8"/>
            <rFont val="Tahoma"/>
            <family val="0"/>
          </rPr>
          <t xml:space="preserve">
The fraction of the total counts that were unique.</t>
        </r>
      </text>
    </comment>
    <comment ref="K9" authorId="0">
      <text>
        <r>
          <rPr>
            <b/>
            <sz val="8"/>
            <rFont val="Tahoma"/>
            <family val="0"/>
          </rPr>
          <t>Phil W.:</t>
        </r>
        <r>
          <rPr>
            <sz val="8"/>
            <rFont val="Tahoma"/>
            <family val="0"/>
          </rPr>
          <t xml:space="preserve">
The total of the unique spectral counts across all of the samples.</t>
        </r>
      </text>
    </comment>
    <comment ref="J9" authorId="0">
      <text>
        <r>
          <rPr>
            <b/>
            <sz val="8"/>
            <rFont val="Tahoma"/>
            <family val="0"/>
          </rPr>
          <t>Phil W.:</t>
        </r>
        <r>
          <rPr>
            <sz val="8"/>
            <rFont val="Tahoma"/>
            <family val="0"/>
          </rPr>
          <t xml:space="preserve">
The total spectral counts across all samples.</t>
        </r>
      </text>
    </comment>
    <comment ref="I9" authorId="0">
      <text>
        <r>
          <rPr>
            <b/>
            <sz val="8"/>
            <rFont val="Tahoma"/>
            <family val="0"/>
          </rPr>
          <t>Phil W.:</t>
        </r>
        <r>
          <rPr>
            <sz val="8"/>
            <rFont val="Tahoma"/>
            <family val="0"/>
          </rPr>
          <t xml:space="preserve">
Protein description.</t>
        </r>
      </text>
    </comment>
    <comment ref="H9" authorId="0">
      <text>
        <r>
          <rPr>
            <b/>
            <sz val="8"/>
            <rFont val="Tahoma"/>
            <family val="0"/>
          </rPr>
          <t>Phil W.:</t>
        </r>
        <r>
          <rPr>
            <sz val="8"/>
            <rFont val="Tahoma"/>
            <family val="0"/>
          </rPr>
          <t xml:space="preserve">
Calculated protein molecular weight (Da).</t>
        </r>
      </text>
    </comment>
    <comment ref="G9" authorId="0">
      <text>
        <r>
          <rPr>
            <b/>
            <sz val="8"/>
            <rFont val="Tahoma"/>
            <family val="0"/>
          </rPr>
          <t>Phil W.:</t>
        </r>
        <r>
          <rPr>
            <sz val="8"/>
            <rFont val="Tahoma"/>
            <family val="0"/>
          </rPr>
          <t xml:space="preserve">
Protein sequence length.</t>
        </r>
      </text>
    </comment>
    <comment ref="F9" authorId="0">
      <text>
        <r>
          <rPr>
            <b/>
            <sz val="8"/>
            <rFont val="Tahoma"/>
            <family val="0"/>
          </rPr>
          <t>Phil W.:</t>
        </r>
        <r>
          <rPr>
            <sz val="8"/>
            <rFont val="Tahoma"/>
            <family val="0"/>
          </rPr>
          <t xml:space="preserve">
Protein sequence coverage (%) of the identified peptides.</t>
        </r>
      </text>
    </comment>
    <comment ref="E9" authorId="0">
      <text>
        <r>
          <rPr>
            <b/>
            <sz val="8"/>
            <rFont val="Tahoma"/>
            <family val="0"/>
          </rPr>
          <t>Phil W.:</t>
        </r>
        <r>
          <rPr>
            <sz val="8"/>
            <rFont val="Tahoma"/>
            <family val="0"/>
          </rPr>
          <t xml:space="preserve">
Contains tags denoting common contaminants, redundant proteins, and decoy matches.</t>
        </r>
      </text>
    </comment>
    <comment ref="D9" authorId="0">
      <text>
        <r>
          <rPr>
            <b/>
            <sz val="8"/>
            <rFont val="Tahoma"/>
            <family val="0"/>
          </rPr>
          <t>Phil W.:</t>
        </r>
        <r>
          <rPr>
            <sz val="8"/>
            <rFont val="Tahoma"/>
            <family val="0"/>
          </rPr>
          <t xml:space="preserve">
Hyperlink to Ensembl database.</t>
        </r>
      </text>
    </comment>
    <comment ref="C9" authorId="0">
      <text>
        <r>
          <rPr>
            <b/>
            <sz val="8"/>
            <rFont val="Tahoma"/>
            <family val="0"/>
          </rPr>
          <t>Phil W.:</t>
        </r>
        <r>
          <rPr>
            <sz val="8"/>
            <rFont val="Tahoma"/>
            <family val="0"/>
          </rPr>
          <t xml:space="preserve">
Protein accession key.</t>
        </r>
      </text>
    </comment>
    <comment ref="B9" authorId="0">
      <text>
        <r>
          <rPr>
            <b/>
            <sz val="8"/>
            <rFont val="Tahoma"/>
            <family val="0"/>
          </rPr>
          <t>Phil W.:</t>
        </r>
        <r>
          <rPr>
            <sz val="8"/>
            <rFont val="Tahoma"/>
            <family val="0"/>
          </rPr>
          <t xml:space="preserve">
Column that allows a protein count (cell B3) of visible rows subject to any column filters.</t>
        </r>
      </text>
    </comment>
    <comment ref="A9" authorId="0">
      <text>
        <r>
          <rPr>
            <b/>
            <sz val="8"/>
            <rFont val="Tahoma"/>
            <family val="0"/>
          </rPr>
          <t>Phil W.:</t>
        </r>
        <r>
          <rPr>
            <sz val="8"/>
            <rFont val="Tahoma"/>
            <family val="0"/>
          </rPr>
          <t xml:space="preserve">
Arbitrary protein group number.</t>
        </r>
      </text>
    </comment>
  </commentList>
</comments>
</file>

<file path=xl/comments3.xml><?xml version="1.0" encoding="utf-8"?>
<comments xmlns="http://schemas.openxmlformats.org/spreadsheetml/2006/main">
  <authors>
    <author>Phil W.</author>
  </authors>
  <commentList>
    <comment ref="A4" authorId="0">
      <text>
        <r>
          <rPr>
            <b/>
            <sz val="8"/>
            <rFont val="Tahoma"/>
            <family val="0"/>
          </rPr>
          <t>Phil W.:</t>
        </r>
        <r>
          <rPr>
            <sz val="8"/>
            <rFont val="Tahoma"/>
            <family val="0"/>
          </rPr>
          <t xml:space="preserve">
Arbitrary protein group number.</t>
        </r>
      </text>
    </comment>
    <comment ref="C4" authorId="0">
      <text>
        <r>
          <rPr>
            <b/>
            <sz val="8"/>
            <rFont val="Tahoma"/>
            <family val="0"/>
          </rPr>
          <t>Phil W.:</t>
        </r>
        <r>
          <rPr>
            <sz val="8"/>
            <rFont val="Tahoma"/>
            <family val="0"/>
          </rPr>
          <t xml:space="preserve">
Protein accession key.</t>
        </r>
      </text>
    </comment>
    <comment ref="B4" authorId="0">
      <text>
        <r>
          <rPr>
            <b/>
            <sz val="8"/>
            <rFont val="Tahoma"/>
            <family val="0"/>
          </rPr>
          <t>Phil W.:</t>
        </r>
        <r>
          <rPr>
            <sz val="8"/>
            <rFont val="Tahoma"/>
            <family val="0"/>
          </rPr>
          <t xml:space="preserve">
Column that allows a protein count (cell B3) of visible rows subject to any column filters.</t>
        </r>
      </text>
    </comment>
    <comment ref="D4" authorId="0">
      <text>
        <r>
          <rPr>
            <b/>
            <sz val="8"/>
            <rFont val="Tahoma"/>
            <family val="0"/>
          </rPr>
          <t>Phil W.:</t>
        </r>
        <r>
          <rPr>
            <sz val="8"/>
            <rFont val="Tahoma"/>
            <family val="0"/>
          </rPr>
          <t xml:space="preserve">
List of any other redundant proteins (identified by the same set of peptides).</t>
        </r>
      </text>
    </comment>
    <comment ref="E4" authorId="0">
      <text>
        <r>
          <rPr>
            <b/>
            <sz val="8"/>
            <rFont val="Tahoma"/>
            <family val="0"/>
          </rPr>
          <t>Phil W.:</t>
        </r>
        <r>
          <rPr>
            <sz val="8"/>
            <rFont val="Tahoma"/>
            <family val="0"/>
          </rPr>
          <t xml:space="preserve">
Lists of proteins having nearly identical sets of identified peptide that were grouped.</t>
        </r>
      </text>
    </comment>
    <comment ref="F4" authorId="0">
      <text>
        <r>
          <rPr>
            <b/>
            <sz val="8"/>
            <rFont val="Tahoma"/>
            <family val="0"/>
          </rPr>
          <t>Phil W.:</t>
        </r>
        <r>
          <rPr>
            <sz val="8"/>
            <rFont val="Tahoma"/>
            <family val="0"/>
          </rPr>
          <t xml:space="preserve">
List of all other proteins containing any shared peptides with the respective protein.</t>
        </r>
      </text>
    </comment>
    <comment ref="G4" authorId="0">
      <text>
        <r>
          <rPr>
            <b/>
            <sz val="8"/>
            <rFont val="Tahoma"/>
            <family val="0"/>
          </rPr>
          <t>Phil W.:</t>
        </r>
        <r>
          <rPr>
            <sz val="8"/>
            <rFont val="Tahoma"/>
            <family val="0"/>
          </rPr>
          <t xml:space="preserve">
Hyperlink to Ensembl database.</t>
        </r>
      </text>
    </comment>
    <comment ref="H4" authorId="0">
      <text>
        <r>
          <rPr>
            <b/>
            <sz val="8"/>
            <rFont val="Tahoma"/>
            <family val="0"/>
          </rPr>
          <t>Phil W.:</t>
        </r>
        <r>
          <rPr>
            <sz val="8"/>
            <rFont val="Tahoma"/>
            <family val="0"/>
          </rPr>
          <t xml:space="preserve">
Contains tags denoting common contaminants and decoy proteins.</t>
        </r>
      </text>
    </comment>
    <comment ref="I4" authorId="0">
      <text>
        <r>
          <rPr>
            <b/>
            <sz val="8"/>
            <rFont val="Tahoma"/>
            <family val="0"/>
          </rPr>
          <t>Phil W.:</t>
        </r>
        <r>
          <rPr>
            <sz val="8"/>
            <rFont val="Tahoma"/>
            <family val="0"/>
          </rPr>
          <t xml:space="preserve">
Sequence coverage (%) of detected peptides.</t>
        </r>
      </text>
    </comment>
    <comment ref="J4" authorId="0">
      <text>
        <r>
          <rPr>
            <b/>
            <sz val="8"/>
            <rFont val="Tahoma"/>
            <family val="0"/>
          </rPr>
          <t>Phil W.:</t>
        </r>
        <r>
          <rPr>
            <sz val="8"/>
            <rFont val="Tahoma"/>
            <family val="0"/>
          </rPr>
          <t xml:space="preserve">
Protein sequence length.</t>
        </r>
      </text>
    </comment>
    <comment ref="K4" authorId="0">
      <text>
        <r>
          <rPr>
            <b/>
            <sz val="8"/>
            <rFont val="Tahoma"/>
            <family val="0"/>
          </rPr>
          <t>Phil W.:</t>
        </r>
        <r>
          <rPr>
            <sz val="8"/>
            <rFont val="Tahoma"/>
            <family val="0"/>
          </rPr>
          <t xml:space="preserve">
Calculated protein molecular weight (Da).</t>
        </r>
      </text>
    </comment>
    <comment ref="L4" authorId="0">
      <text>
        <r>
          <rPr>
            <b/>
            <sz val="8"/>
            <rFont val="Tahoma"/>
            <family val="0"/>
          </rPr>
          <t>Phil W.:</t>
        </r>
        <r>
          <rPr>
            <sz val="8"/>
            <rFont val="Tahoma"/>
            <family val="0"/>
          </rPr>
          <t xml:space="preserve">
Protein description.</t>
        </r>
      </text>
    </comment>
    <comment ref="M4" authorId="0">
      <text>
        <r>
          <rPr>
            <b/>
            <sz val="8"/>
            <rFont val="Tahoma"/>
            <family val="0"/>
          </rPr>
          <t>Phil W.:</t>
        </r>
        <r>
          <rPr>
            <sz val="8"/>
            <rFont val="Tahoma"/>
            <family val="0"/>
          </rPr>
          <t xml:space="preserve">
Total spectral counts across all samples.</t>
        </r>
      </text>
    </comment>
    <comment ref="N4" authorId="0">
      <text>
        <r>
          <rPr>
            <b/>
            <sz val="8"/>
            <rFont val="Tahoma"/>
            <family val="0"/>
          </rPr>
          <t>Phil W.:</t>
        </r>
        <r>
          <rPr>
            <sz val="8"/>
            <rFont val="Tahoma"/>
            <family val="0"/>
          </rPr>
          <t xml:space="preserve">
Total spectral counts of unique peptides across samples.</t>
        </r>
      </text>
    </comment>
    <comment ref="O4" authorId="0">
      <text>
        <r>
          <rPr>
            <b/>
            <sz val="8"/>
            <rFont val="Tahoma"/>
            <family val="0"/>
          </rPr>
          <t>Phil W.:</t>
        </r>
        <r>
          <rPr>
            <sz val="8"/>
            <rFont val="Tahoma"/>
            <family val="0"/>
          </rPr>
          <t xml:space="preserve">
The fraction of the total counts that were unique.</t>
        </r>
      </text>
    </comment>
    <comment ref="P3" authorId="0">
      <text>
        <r>
          <rPr>
            <b/>
            <sz val="8"/>
            <rFont val="Tahoma"/>
            <family val="0"/>
          </rPr>
          <t>Phil W.:</t>
        </r>
        <r>
          <rPr>
            <sz val="8"/>
            <rFont val="Tahoma"/>
            <family val="0"/>
          </rPr>
          <t xml:space="preserve">
Total spectral counts.</t>
        </r>
      </text>
    </comment>
    <comment ref="P4" authorId="0">
      <text>
        <r>
          <rPr>
            <b/>
            <sz val="8"/>
            <rFont val="Tahoma"/>
            <family val="0"/>
          </rPr>
          <t>Phil W.:</t>
        </r>
        <r>
          <rPr>
            <sz val="8"/>
            <rFont val="Tahoma"/>
            <family val="0"/>
          </rPr>
          <t xml:space="preserve">
Control sample.</t>
        </r>
      </text>
    </comment>
    <comment ref="Q4" authorId="0">
      <text>
        <r>
          <rPr>
            <b/>
            <sz val="8"/>
            <rFont val="Tahoma"/>
            <family val="0"/>
          </rPr>
          <t>Phil W.:</t>
        </r>
        <r>
          <rPr>
            <sz val="8"/>
            <rFont val="Tahoma"/>
            <family val="0"/>
          </rPr>
          <t xml:space="preserve">
30 HBO tereatment sample.</t>
        </r>
      </text>
    </comment>
    <comment ref="U4" authorId="0">
      <text>
        <r>
          <rPr>
            <b/>
            <sz val="8"/>
            <rFont val="Tahoma"/>
            <family val="0"/>
          </rPr>
          <t>Phil W.:</t>
        </r>
        <r>
          <rPr>
            <sz val="8"/>
            <rFont val="Tahoma"/>
            <family val="0"/>
          </rPr>
          <t xml:space="preserve">
30 HBO treatment sample. </t>
        </r>
      </text>
    </comment>
    <comment ref="S4" authorId="0">
      <text>
        <r>
          <rPr>
            <b/>
            <sz val="8"/>
            <rFont val="Tahoma"/>
            <family val="0"/>
          </rPr>
          <t>Phil W.:</t>
        </r>
        <r>
          <rPr>
            <sz val="8"/>
            <rFont val="Tahoma"/>
            <family val="0"/>
          </rPr>
          <t xml:space="preserve">
30 HBO treatment sample.</t>
        </r>
      </text>
    </comment>
    <comment ref="R4" authorId="0">
      <text>
        <r>
          <rPr>
            <b/>
            <sz val="8"/>
            <rFont val="Tahoma"/>
            <family val="0"/>
          </rPr>
          <t>Phil W.:</t>
        </r>
        <r>
          <rPr>
            <sz val="8"/>
            <rFont val="Tahoma"/>
            <family val="0"/>
          </rPr>
          <t xml:space="preserve">
Control sample.</t>
        </r>
      </text>
    </comment>
    <comment ref="T4" authorId="0">
      <text>
        <r>
          <rPr>
            <b/>
            <sz val="8"/>
            <rFont val="Tahoma"/>
            <family val="0"/>
          </rPr>
          <t>Phil W.:</t>
        </r>
        <r>
          <rPr>
            <sz val="8"/>
            <rFont val="Tahoma"/>
            <family val="0"/>
          </rPr>
          <t xml:space="preserve">
Control sample.
</t>
        </r>
      </text>
    </comment>
    <comment ref="Q3" authorId="0">
      <text>
        <r>
          <rPr>
            <b/>
            <sz val="8"/>
            <rFont val="Tahoma"/>
            <family val="0"/>
          </rPr>
          <t>Phil W.:</t>
        </r>
        <r>
          <rPr>
            <sz val="8"/>
            <rFont val="Tahoma"/>
            <family val="0"/>
          </rPr>
          <t xml:space="preserve">
Total spectral counts.</t>
        </r>
      </text>
    </comment>
    <comment ref="R3" authorId="0">
      <text>
        <r>
          <rPr>
            <b/>
            <sz val="8"/>
            <rFont val="Tahoma"/>
            <family val="0"/>
          </rPr>
          <t>Phil W.:</t>
        </r>
        <r>
          <rPr>
            <sz val="8"/>
            <rFont val="Tahoma"/>
            <family val="0"/>
          </rPr>
          <t xml:space="preserve">
Total unique spectral count.</t>
        </r>
      </text>
    </comment>
    <comment ref="S3" authorId="0">
      <text>
        <r>
          <rPr>
            <b/>
            <sz val="8"/>
            <rFont val="Tahoma"/>
            <family val="0"/>
          </rPr>
          <t>Phil W.:</t>
        </r>
        <r>
          <rPr>
            <sz val="8"/>
            <rFont val="Tahoma"/>
            <family val="0"/>
          </rPr>
          <t xml:space="preserve">
Total unique spectral count.</t>
        </r>
      </text>
    </comment>
    <comment ref="T3" authorId="0">
      <text>
        <r>
          <rPr>
            <b/>
            <sz val="8"/>
            <rFont val="Tahoma"/>
            <family val="0"/>
          </rPr>
          <t>Phil W.:</t>
        </r>
        <r>
          <rPr>
            <sz val="8"/>
            <rFont val="Tahoma"/>
            <family val="0"/>
          </rPr>
          <t xml:space="preserve">
Corrected total spectral count where any shared peptide counts have been fractionally split between the proteins that they map to on the basis of the relative unique counts of those proteins.</t>
        </r>
      </text>
    </comment>
    <comment ref="U3" authorId="0">
      <text>
        <r>
          <rPr>
            <b/>
            <sz val="8"/>
            <rFont val="Tahoma"/>
            <family val="0"/>
          </rPr>
          <t>Phil W.:</t>
        </r>
        <r>
          <rPr>
            <sz val="8"/>
            <rFont val="Tahoma"/>
            <family val="0"/>
          </rPr>
          <t xml:space="preserve">
Corrected total spectral count where any shared peptide counts have been fractionally split between the proteins that they map to on the basis of the relative unique counts of those proteins.</t>
        </r>
      </text>
    </comment>
  </commentList>
</comments>
</file>

<file path=xl/sharedStrings.xml><?xml version="1.0" encoding="utf-8"?>
<sst xmlns="http://schemas.openxmlformats.org/spreadsheetml/2006/main" count="1964" uniqueCount="609">
  <si>
    <t>Total</t>
  </si>
  <si>
    <t>Unique</t>
  </si>
  <si>
    <t>Corrected</t>
  </si>
  <si>
    <t>ProtGroup</t>
  </si>
  <si>
    <t>Counter</t>
  </si>
  <si>
    <t>Accession</t>
  </si>
  <si>
    <t>Link</t>
  </si>
  <si>
    <t>Filter</t>
  </si>
  <si>
    <t>Coverage</t>
  </si>
  <si>
    <t>SeqLength</t>
  </si>
  <si>
    <t>MW</t>
  </si>
  <si>
    <t>Description</t>
  </si>
  <si>
    <t>CountsTot</t>
  </si>
  <si>
    <t>UniqueTot</t>
  </si>
  <si>
    <t>UniqFrac</t>
  </si>
  <si>
    <t>OtherLoci</t>
  </si>
  <si>
    <t>CONT_005</t>
  </si>
  <si>
    <t xml:space="preserve"> </t>
  </si>
  <si>
    <t>contaminant</t>
  </si>
  <si>
    <t>Promega trypsin artifact 5 K to R mods (2239.1, 2914)(1987, 2003).</t>
  </si>
  <si>
    <t>CONT_005, CONT_010</t>
  </si>
  <si>
    <t>CONT_010</t>
  </si>
  <si>
    <t>TRYPSIN PRECURSOR [Sus scrofa].</t>
  </si>
  <si>
    <t>CONT_015</t>
  </si>
  <si>
    <t>albumin [Bos primigenius taurus].</t>
  </si>
  <si>
    <t>CONT_015, CONT_016, CONT_017</t>
  </si>
  <si>
    <t>CONT_016</t>
  </si>
  <si>
    <t>SERUM ALBUMIN PRECURSOR [Bos taurus].</t>
  </si>
  <si>
    <t>CONT_017</t>
  </si>
  <si>
    <t>SERUM ALBUMIN PRECURSOR [Homo sapiens].</t>
  </si>
  <si>
    <t>CONT_064</t>
  </si>
  <si>
    <t>(S43646) cytokeratin 2, CK 2 [human, epidermis, Peptide, 645 aa].</t>
  </si>
  <si>
    <t>CONT_064, CONT_088, CONT_089, ENSCPOP00000006957</t>
  </si>
  <si>
    <t>CONT_072</t>
  </si>
  <si>
    <t>redundant</t>
  </si>
  <si>
    <t>KERATIN, TYPE II CYTOSKELETAL 2 EPIDERMAL (CYTOKERATIN 2E) (K2E) (CK 2E) [Homo sapiens].</t>
  </si>
  <si>
    <t>CONT_068</t>
  </si>
  <si>
    <t>keratin 9, cytoskeletal [Homo sapiens].</t>
  </si>
  <si>
    <t>CONT_088</t>
  </si>
  <si>
    <t>KERATIN, TYPE II CYTOSKELETAL 1 (CYTOKERATIN 1) (K1) (CK 1) (67 KD CYTOKERATIN) (HAIR ALPHA PROTEIN) [Homo sapiens].</t>
  </si>
  <si>
    <t>CONT_089</t>
  </si>
  <si>
    <t>keratin, 67K type II cytoskeletal (fragment) [Homo sapiens].</t>
  </si>
  <si>
    <t>CONT_092</t>
  </si>
  <si>
    <t>keratin 10, type I, cytoskeletal (clone lambda-KH10-5) [Homo sapiens].</t>
  </si>
  <si>
    <t>CONT_121</t>
  </si>
  <si>
    <t>KERATIN, TYPE I CYTOSKELETAL 10 (CYTOKERATIN 10) (K10) (CK 10) [Homo sapiens].</t>
  </si>
  <si>
    <t>ENSCPOP00000000043</t>
  </si>
  <si>
    <t>pyrroline-5-carboxylate reductase-like [Source:HGNC Symbol;Acc:25846](G:50, T:50).</t>
  </si>
  <si>
    <t>ENSCPOP00000000062</t>
  </si>
  <si>
    <t>transketolase [Source:HGNC Symbol;Acc:11834](G:72, T:72).</t>
  </si>
  <si>
    <t>ENSCPOP00000000161</t>
  </si>
  <si>
    <t>GammaC-crystallin. [Source:UniProtKB/TrEMBL;Acc:A3RLD9](G:186, T:187).</t>
  </si>
  <si>
    <t>ENSCPOP00000000161, ENSCPOP00000010076, ENSCPOP00000013563, ENSCPOP00000017498</t>
  </si>
  <si>
    <t>ENSCPOP00000000308</t>
  </si>
  <si>
    <t>Ubiquitin. [Source:UniProtKB/Swiss-Prot;Acc:P62977](G:351, T:354).</t>
  </si>
  <si>
    <t>ENSCPOP00000005248</t>
  </si>
  <si>
    <t>40S ribosomal protein S27a. [Source:UniProtKB/Swiss-Prot;Acc:P62978](G:5819, T:5882).</t>
  </si>
  <si>
    <t>ENSCPOP00000000368</t>
  </si>
  <si>
    <t>glycerol-3-phosphate dehydrogenase 1 (soluble) [Source:HGNC Symbol;Acc:4455](G:417, T:420).</t>
  </si>
  <si>
    <t>ENSCPOP00000000368, ENSCPOP00000012665</t>
  </si>
  <si>
    <t>ENSCPOP00000000373</t>
  </si>
  <si>
    <t>2,3-bisphosphoglycerate mutase [Source:HGNC Symbol;Acc:1093](G:423, T:427).</t>
  </si>
  <si>
    <t>ENSCPOP00000000461</t>
  </si>
  <si>
    <t>alcohol dehydrogenase 5 (class III), chi polypeptide [Source:HGNC Symbol;Acc:253](G:527, T:532).</t>
  </si>
  <si>
    <t>ENSCPOP00000000612</t>
  </si>
  <si>
    <t>dipeptidyl-peptidase 3 [Source:HGNC Symbol;Acc:3008](G:690, T:695).</t>
  </si>
  <si>
    <t>ENSCPOP00000001034</t>
  </si>
  <si>
    <t>Carbonic anhydrase 3. [Source:UniProtKB/TrEMBL;Acc:A9Z0V9](G:1147, T:1159).</t>
  </si>
  <si>
    <t>ENSCPOP00000001144</t>
  </si>
  <si>
    <t>ubiquitin carboxyl-terminal esterase L1 (ubiquitin thiolesterase) [Source:HGNC Symbol;Acc:12513](G:1263, T:1279).</t>
  </si>
  <si>
    <t>ENSCPOP00000001161</t>
  </si>
  <si>
    <t>family with sequence similarity 49, member B [Source:HGNC Symbol;Acc:25216](G:1282, T:1298).</t>
  </si>
  <si>
    <t>ENSCPOP00000001164</t>
  </si>
  <si>
    <t>pep:novel scaffold:cavPor3:scaffold_44:8767055:8784056:1 gene:ENSCPOG00000001285 transcript:ENSCPOT00000001301</t>
  </si>
  <si>
    <t>ENSCPOP00000001508</t>
  </si>
  <si>
    <t>acetyl-CoA acetyltransferase 2 [Source:HGNC Symbol;Acc:94](G:1672, T:1693).</t>
  </si>
  <si>
    <t>ENSCPOP00000001620</t>
  </si>
  <si>
    <t>cullin-associated and neddylation-dissociated 1 [Source:HGNC Symbol;Acc:30688](G:1791, T:1812).</t>
  </si>
  <si>
    <t>ENSCPOP00000001659</t>
  </si>
  <si>
    <t>Rho GDP dissociation inhibitor (GDI) alpha [Source:HGNC Symbol;Acc:678](G:1832, T:1853).</t>
  </si>
  <si>
    <t>ENSCPOP00000001717</t>
  </si>
  <si>
    <t>transaldolase 1 [Source:HGNC Symbol;Acc:11559](G:1899, T:1920).</t>
  </si>
  <si>
    <t>ENSCPOP00000001766</t>
  </si>
  <si>
    <t>peroxisome proliferator-activated receptor gamma, coactivator 1 beta [Source:HGNC Symbol;Acc:30022](G:1958, T:1980).</t>
  </si>
  <si>
    <t>ENSCPOP00000001822</t>
  </si>
  <si>
    <t>heat shock protein 90kDa alpha (cytosolic), class A member 1 [Source:HGNC Symbol;Acc:5253](G:2015, T:2042).</t>
  </si>
  <si>
    <t>ENSCPOP00000001822, ENSCPOP00000003507</t>
  </si>
  <si>
    <t>ENSCPOP00000001917</t>
  </si>
  <si>
    <t>BetaA4-crystallin. [Source:UniProtKB/TrEMBL;Acc:A7L5B3](G:2117, T:2145).</t>
  </si>
  <si>
    <t>ENSCPOP00000001917, ENSCPOP00000002557</t>
  </si>
  <si>
    <t>ENSCPOP00000002102</t>
  </si>
  <si>
    <t>ubiquitin specific peptidase 13 (isopeptidase T-3) [Source:HGNC Symbol;Acc:12611](G:2315, T:2347).</t>
  </si>
  <si>
    <t>ENSCPOP00000002164</t>
  </si>
  <si>
    <t>tubulin, beta 3 [Source:HGNC Symbol;Acc:20772](G:2380, T:2413).</t>
  </si>
  <si>
    <t>ENSCPOP00000002164, ENSCPOP00000010765, ENSCPOP00000010866</t>
  </si>
  <si>
    <t>ENSCPOP00000002196</t>
  </si>
  <si>
    <t>cytochrome b5 reductase 2 [Source:HGNC Symbol;Acc:24376](G:2413, T:2446).</t>
  </si>
  <si>
    <t>ENSCPOP00000002296</t>
  </si>
  <si>
    <t>pep:novel scaffold:cavPor3:scaffold_62:5237240:5248878:1 gene:ENSCPOG00000002522 transcript:ENSCPOT00000002556</t>
  </si>
  <si>
    <t>ENSCPOP00000002392</t>
  </si>
  <si>
    <t>Peptidyl-prolyl cis-trans isomerase (EC 5.2.1.8) (Fragment). [Source:UniProtKB/TrEMBL;Acc:Q9QZ91](G:2632, T:2666).</t>
  </si>
  <si>
    <t>ENSCPOP00000002414</t>
  </si>
  <si>
    <t>malic enzyme 1, NADP(+)-dependent, cytosolic [Source:HGNC Symbol;Acc:6983](G:2656, T:2690).</t>
  </si>
  <si>
    <t>ENSCPOP00000002427</t>
  </si>
  <si>
    <t>filamin A, alpha [Source:HGNC Symbol;Acc:3754](G:2672, T:2706).</t>
  </si>
  <si>
    <t>ENSCPOP00000002427, ENSCPOP00000009454</t>
  </si>
  <si>
    <t>ENSCPOP00000002535</t>
  </si>
  <si>
    <t>aspartyl aminopeptidase [Source:HGNC Symbol;Acc:2981](G:2790, T:2825).</t>
  </si>
  <si>
    <t>ENSCPOP00000002538</t>
  </si>
  <si>
    <t>tubulin, alpha 8 [Source:HGNC Symbol;Acc:12410](G:2793, T:2828).</t>
  </si>
  <si>
    <t>ENSCPOP00000002538, ENSCPOP00000011718, ENSCPOP00000015445, ENSCPOP00000015949</t>
  </si>
  <si>
    <t>ENSCPOP00000002557</t>
  </si>
  <si>
    <t>Beta A1-crystallin. [Source:UniProtKB/TrEMBL;Acc:Q91XW3](G:2812, T:2847).</t>
  </si>
  <si>
    <t>ENSCPOP00000001917, ENSCPOP00000002557, ENSCPOP00000003327, ENSCPOP00000004629, ENSCPOP00000008199</t>
  </si>
  <si>
    <t>ENSCPOP00000002813</t>
  </si>
  <si>
    <t>proteasome (prosome, macropain) subunit, alpha type, 6 [Source:HGNC Symbol;Acc:9535](G:3107, T:3150).</t>
  </si>
  <si>
    <t>ENSCPOP00000002926</t>
  </si>
  <si>
    <t>programmed cell death 6 interacting protein [Source:HGNC Symbol;Acc:8766](G:3230, T:3273).</t>
  </si>
  <si>
    <t>ENSCPOP00000002972</t>
  </si>
  <si>
    <t>annexin A5 [Source:HGNC Symbol;Acc:543](G:3289, T:3332).</t>
  </si>
  <si>
    <t>ENSCPOP00000002993</t>
  </si>
  <si>
    <t>eukaryotic translation initiation factor 2, subunit 1 alpha, 35kDa [Source:HGNC Symbol;Acc:3265](G:3313, T:3356).</t>
  </si>
  <si>
    <t>ENSCPOP00000003075</t>
  </si>
  <si>
    <t>radixin [Source:HGNC Symbol;Acc:9944](G:3401, T:3444).</t>
  </si>
  <si>
    <t>ENSCPOP00000003075, ENSCPOP00000003884, ENSCPOP00000006403</t>
  </si>
  <si>
    <t>ENSCPOP00000003327</t>
  </si>
  <si>
    <t>BetaB2-crystallin. [Source:UniProtKB/TrEMBL;Acc:A4L9L6](G:3687, T:3731).</t>
  </si>
  <si>
    <t>ENSCPOP00000002557, ENSCPOP00000003327, ENSCPOP00000004629, ENSCPOP00000008199</t>
  </si>
  <si>
    <t>ENSCPOP00000003507</t>
  </si>
  <si>
    <t>heat shock protein 90kDa alpha (cytosolic), class B member 1 [Source:HGNC Symbol;Acc:5258](G:3887, T:3931).</t>
  </si>
  <si>
    <t>ENSCPOP00000003669</t>
  </si>
  <si>
    <t>pep:novel scaffold:cavPor3:scaffold_4:46683612:46685713:-1 gene:ENSCPOG00000004067 transcript:ENSCPOT00000004112</t>
  </si>
  <si>
    <t>ENSCPOP00000003676</t>
  </si>
  <si>
    <t>dynein, cytoplasmic 1, heavy chain 1 [Source:HGNC Symbol;Acc:2961](G:4074, T:4119).</t>
  </si>
  <si>
    <t>ENSCPOP00000003760</t>
  </si>
  <si>
    <t>pep:novel scaffold:cavPor3:scaffold_19:25400692:25403895:1 gene:ENSCPOG00000004169 transcript:ENSCPOT00000004214</t>
  </si>
  <si>
    <t>ENSCPOP00000003787</t>
  </si>
  <si>
    <t>glutathione synthetase [Source:HGNC Symbol;Acc:4624](G:4201, T:4246).</t>
  </si>
  <si>
    <t>ENSCPOP00000003845</t>
  </si>
  <si>
    <t>Tryptophan-tRNA synthetase (Fragment). [Source:UniProtKB/TrEMBL;Acc:O70184](G:4263, T:4308).</t>
  </si>
  <si>
    <t>ENSCPOP00000003884</t>
  </si>
  <si>
    <t>ezrin [Source:HGNC Symbol;Acc:12691](G:4306, T:4352).</t>
  </si>
  <si>
    <t>ENSCPOP00000004127</t>
  </si>
  <si>
    <t>pep:novel scaffold:cavPor3:scaffold_57:1848823:1864621:-1 gene:ENSCPOG00000004578 transcript:ENSCPOT00000004627</t>
  </si>
  <si>
    <t>ENSCPOP00000004190</t>
  </si>
  <si>
    <t>pep:novel scaffold:cavPor3:scaffold_4:6254691:6256091:1 gene:ENSCPOG00000004650 transcript:ENSCPOT00000004699</t>
  </si>
  <si>
    <t>ENSCPOP00000004343</t>
  </si>
  <si>
    <t>importin 5 [Source:HGNC Symbol;Acc:6402](G:4827, T:4878).</t>
  </si>
  <si>
    <t>ENSCPOP00000004382</t>
  </si>
  <si>
    <t>WD repeat1 protein. [Source:UniProtKB/TrEMBL;Acc:Q8R4Z8](G:4869, T:4921).</t>
  </si>
  <si>
    <t>ENSCPOP00000004539</t>
  </si>
  <si>
    <t>HECT, UBA and WWE domain containing 1 [Source:HGNC Symbol;Acc:30892](G:5045, T:5099).</t>
  </si>
  <si>
    <t>ENSCPOP00000004542</t>
  </si>
  <si>
    <t>bleomycin hydrolase [Source:HGNC Symbol;Acc:1059](G:5048, T:5102).</t>
  </si>
  <si>
    <t>ENSCPOP00000004550</t>
  </si>
  <si>
    <t>vinculin [Source:HGNC Symbol;Acc:12665](G:5058, T:5113).</t>
  </si>
  <si>
    <t>ENSCPOP00000004629</t>
  </si>
  <si>
    <t>BetaB1-crystallin. [Source:UniProtKB/TrEMBL;Acc:A7L5B2](G:5147, T:5202).</t>
  </si>
  <si>
    <t>ENSCPOP00000004691</t>
  </si>
  <si>
    <t>GammaN-crystallin. [Source:UniProtKB/TrEMBL;Acc:A9LS47](G:5218, T:5273).</t>
  </si>
  <si>
    <t>ENSCPOP00000004961</t>
  </si>
  <si>
    <t>clathrin, heavy chain (Hc) [Source:HGNC Symbol;Acc:2092](G:5508, T:5567).</t>
  </si>
  <si>
    <t>ENSCPOP00000005055</t>
  </si>
  <si>
    <t>S100 calcium binding protein A4 [Source:HGNC Symbol;Acc:10494](G:5609, T:5670).</t>
  </si>
  <si>
    <t>ENSCPOP00000005101</t>
  </si>
  <si>
    <t>cullin 3 [Source:HGNC Symbol;Acc:2553](G:5658, T:5719).</t>
  </si>
  <si>
    <t>ENSCPOP00000005182</t>
  </si>
  <si>
    <t>CAP, adenylate cyclase-associated protein 1 (yeast) [Source:HGNC Symbol;Acc:20040](G:5746, T:5808).</t>
  </si>
  <si>
    <t>ENSCPOP00000005241</t>
  </si>
  <si>
    <t>Enolase (EC 4.2.1.11). [Source:UniProtKB/TrEMBL;Acc:A9YWS9](G:5812, T:5874).</t>
  </si>
  <si>
    <t>ENSCPOP00000005241, ENSCPOP00000007974, ENSCPOP00000011828</t>
  </si>
  <si>
    <t>ENSCPOP00000005390</t>
  </si>
  <si>
    <t>GDP dissociation inhibitor 1 [Source:HGNC Symbol;Acc:4226](G:5972, T:6035).</t>
  </si>
  <si>
    <t>ENSCPOP00000005390, ENSCPOP00000012110</t>
  </si>
  <si>
    <t>ENSCPOP00000005421</t>
  </si>
  <si>
    <t>hexokinase 1 [Source:HGNC Symbol;Acc:4922](G:6004, T:6067).</t>
  </si>
  <si>
    <t>ENSCPOP00000005598</t>
  </si>
  <si>
    <t>microtubule-associated protein 1B [Source:HGNC Symbol;Acc:6836](G:6207, T:6272).</t>
  </si>
  <si>
    <t>ENSCPOP00000005627</t>
  </si>
  <si>
    <t>ADP-ribosylation factor 5 [Source:HGNC Symbol;Acc:658](G:6239, T:6304).</t>
  </si>
  <si>
    <t>ENSCPOP00000005627, ENSCPOP00000020498</t>
  </si>
  <si>
    <t>ENSCPOP00000005650</t>
  </si>
  <si>
    <t>lectin, galactoside-binding, soluble, 1 [Source:HGNC Symbol;Acc:6561](G:6267, T:6332).</t>
  </si>
  <si>
    <t>ENSCPOP00000005768</t>
  </si>
  <si>
    <t>annexin A2 [Source:HGNC Symbol;Acc:537](G:6400, T:6465).</t>
  </si>
  <si>
    <t>ENSCPOP00000005873</t>
  </si>
  <si>
    <t>Quinone oxidoreductase (EC 1.6.5.5) (NADPH:quinone reductase) (Zeta- crystallin). [Source:UniProtKB/Swiss-Prot;Acc:P11415](G:6521, T:6587).</t>
  </si>
  <si>
    <t>ENSCPOP00000005886</t>
  </si>
  <si>
    <t>galactose mutarotase (aldose 1-epimerase) [Source:HGNC Symbol;Acc:24063](G:6536, T:6602).</t>
  </si>
  <si>
    <t>ENSCPOP00000005906</t>
  </si>
  <si>
    <t>aminopeptidase puromycin sensitive [Source:HGNC Symbol;Acc:7900](G:6559, T:6625).</t>
  </si>
  <si>
    <t>ENSCPOP00000005913</t>
  </si>
  <si>
    <t>karyopherin (importin) beta 1 [Source:HGNC Symbol;Acc:6400](G:6566, T:6632).</t>
  </si>
  <si>
    <t>ENSCPOP00000006005</t>
  </si>
  <si>
    <t>phosphoglycerate mutase 2 (muscle) [Source:HGNC Symbol;Acc:8889](G:6665, T:6733).</t>
  </si>
  <si>
    <t>ENSCPOP00000006005, ENSCPOP00000006169</t>
  </si>
  <si>
    <t>ENSCPOP00000006169</t>
  </si>
  <si>
    <t>pep:novel scaffold:cavPor3:scaffold_1:31134238:31141657:1 gene:ENSCPOG00000006844 transcript:ENSCPOT00000006913</t>
  </si>
  <si>
    <t>ENSCPOP00000006176</t>
  </si>
  <si>
    <t>Parkinson disease (autosomal recessive, early onset) 7 [Source:HGNC Symbol;Acc:16369](G:6851, T:6920).</t>
  </si>
  <si>
    <t>ENSCPOP00000006182</t>
  </si>
  <si>
    <t>collagen, type V, alpha 2 [Source:HGNC Symbol;Acc:2210](G:6858, T:6927).</t>
  </si>
  <si>
    <t>ENSCPOP00000006403</t>
  </si>
  <si>
    <t>moesin [Source:HGNC Symbol;Acc:7373](G:7103, T:7173).</t>
  </si>
  <si>
    <t>ENSCPOP00000006437</t>
  </si>
  <si>
    <t>pep:novel scaffold:cavPor3:scaffold_28:15032532:15047155:-1 gene:ENSCPOG00000007138 transcript:ENSCPOT00000007209</t>
  </si>
  <si>
    <t>ENSCPOP00000006437, ENSCPOP00000010729</t>
  </si>
  <si>
    <t>ENSCPOP00000006535</t>
  </si>
  <si>
    <t>erythrocyte membrane protein band 4.1 (elliptocytosis 1, RH-linked) [Source:HGNC Symbol;Acc:3377](G:7254, T:7326).</t>
  </si>
  <si>
    <t>ENSCPOP00000006706</t>
  </si>
  <si>
    <t>aldolase A, fructose-bisphosphate [Source:HGNC Symbol;Acc:414](G:7434, T:7506).</t>
  </si>
  <si>
    <t>ENSCPOP00000006706, ENSCPOP00000017636</t>
  </si>
  <si>
    <t>ENSCPOP00000006916</t>
  </si>
  <si>
    <t>Capping protein (Actin filament) muscle Z-line, alpha 2. [Source:UniProtKB/TrEMBL;Acc:Q07E10](G:7677, T:7750).</t>
  </si>
  <si>
    <t>ENSCPOP00000006957</t>
  </si>
  <si>
    <t>keratin 1 [Source:HGNC Symbol;Acc:6412](G:7718, T:7792).</t>
  </si>
  <si>
    <t>ENSCPOP00000007027</t>
  </si>
  <si>
    <t>Glutathione S-transferase B (EC 2.5.1.18) (GST B) (GST class-mu). [Source:UniProtKB/Swiss-Prot;Acc:P16413](G:7803, T:7878).</t>
  </si>
  <si>
    <t>ENSCPOP00000007027, ENSCPOP00000008462, ENSCPOP00000012797, ENSCPOP00000019620</t>
  </si>
  <si>
    <t>ENSCPOP00000007058</t>
  </si>
  <si>
    <t>proteasome (prosome, macropain) subunit, beta type, 7 [Source:HGNC Symbol;Acc:9544](G:7839, T:7914).</t>
  </si>
  <si>
    <t>ENSCPOP00000007161</t>
  </si>
  <si>
    <t>plectin [Source:HGNC Symbol;Acc:9069](G:7957, T:8032).</t>
  </si>
  <si>
    <t>ENSCPOP00000007207</t>
  </si>
  <si>
    <t>tyrosine 3-monooxygenase/tryptophan 5-monooxygenase activation protein, epsilon polypeptide [Source:HGNC Symbol;Acc:12851](G:8007, T:8082).</t>
  </si>
  <si>
    <t>ENSCPOP00000007207, ENSCPOP00000009124, ENSCPOP00000009701, ENSCPOP00000010178, ENSCPOP00000014893, ENSCPOP00000020366</t>
  </si>
  <si>
    <t>ENSCPOP00000007420</t>
  </si>
  <si>
    <t>serpin peptidase inhibitor, clade B (ovalbumin), member 6 [Source:HGNC Symbol;Acc:8950](G:8254, T:8329).</t>
  </si>
  <si>
    <t>ENSCPOP00000007540</t>
  </si>
  <si>
    <t>gelsolin [Source:HGNC Symbol;Acc:4620](G:8387, T:8462).</t>
  </si>
  <si>
    <t>ENSCPOP00000007606</t>
  </si>
  <si>
    <t>UDP-glucose pyrophosphorylase 2 [Source:HGNC Symbol;Acc:12527](G:8459, T:8536).</t>
  </si>
  <si>
    <t>ENSCPOP00000007694</t>
  </si>
  <si>
    <t>glucose-6-phosphate isomerase [Source:HGNC Symbol;Acc:4458](G:8562, T:8639).</t>
  </si>
  <si>
    <t>ENSCPOP00000007755</t>
  </si>
  <si>
    <t>glutamic-oxaloacetic transaminase 1, soluble (aspartate aminotransferase 1) [Source:HGNC Symbol;Acc:4432](G:8633, T:8711).</t>
  </si>
  <si>
    <t>ENSCPOP00000007974</t>
  </si>
  <si>
    <t>enolase 2 (gamma, neuronal) [Source:HGNC Symbol;Acc:3353](G:8878, T:8958).</t>
  </si>
  <si>
    <t>ENSCPOP00000008101</t>
  </si>
  <si>
    <t>pyruvate kinase, muscle [Source:HGNC Symbol;Acc:9021](G:9020, T:9103).</t>
  </si>
  <si>
    <t>ENSCPOP00000008191</t>
  </si>
  <si>
    <t>Phakinin. [Source:UniProtKB/TrEMBL;Acc:A9LS50](G:9122, T:9205).</t>
  </si>
  <si>
    <t>ENSCPOP00000008199</t>
  </si>
  <si>
    <t>BetaA2-crystallin. [Source:UniProtKB/TrEMBL;Acc:A7L5B4](G:9130, T:9213).</t>
  </si>
  <si>
    <t>ENSCPOP00000008445</t>
  </si>
  <si>
    <t>chaperonin containing TCP1, subunit 8 (theta) [Source:HGNC Symbol;Acc:1623](G:9404, T:9489).</t>
  </si>
  <si>
    <t>ENSCPOP00000008462</t>
  </si>
  <si>
    <t>glutathione S-transferase mu 3 (brain) [Source:HGNC Symbol;Acc:4635](G:9422, T:9507).</t>
  </si>
  <si>
    <t>ENSCPOP00000007027, ENSCPOP00000008462, ENSCPOP00000019620</t>
  </si>
  <si>
    <t>ENSCPOP00000008468</t>
  </si>
  <si>
    <t>spectrin, alpha, non-erythrocytic 1 (alpha-fodrin) [Source:HGNC Symbol;Acc:11273](G:9432, T:9517).</t>
  </si>
  <si>
    <t>ENSCPOP00000008701</t>
  </si>
  <si>
    <t>cysteine conjugate-beta lyase 2 [Source:HGNC Symbol;Acc:33238](G:9695, T:9782).</t>
  </si>
  <si>
    <t>ENSCPOP00000008705</t>
  </si>
  <si>
    <t>protein kinase, cAMP-dependent, catalytic, beta [Source:HGNC Symbol;Acc:9381](G:9699, T:9786).</t>
  </si>
  <si>
    <t>ENSCPOP00000016885</t>
  </si>
  <si>
    <t>protein kinase, cAMP-dependent, catalytic, alpha [Source:HGNC Symbol;Acc:9380](G:20078, T:22776).</t>
  </si>
  <si>
    <t>ENSCPOP00000009124</t>
  </si>
  <si>
    <t>tyrosine 3-monooxygenase/tryptophan 5-monooxygenase activation protein, gamma polypeptide [Source:HGNC Symbol;Acc:12852](G:10159, T:10252).</t>
  </si>
  <si>
    <t>ENSCPOP00000009329</t>
  </si>
  <si>
    <t>Beta actin (Fragment). [Source:UniProtKB/TrEMBL;Acc:Q9QZ97](G:10386, T:10480).</t>
  </si>
  <si>
    <t>ENSCPOP00000009329, ENSCPOP00000009906, ENSCPOP00000010883</t>
  </si>
  <si>
    <t>ENSCPOP00000009454</t>
  </si>
  <si>
    <t>filamin B, beta [Source:HGNC Symbol;Acc:3755](G:10528, T:10623).</t>
  </si>
  <si>
    <t>ENSCPOP00000009553</t>
  </si>
  <si>
    <t>phosphoglycerate kinase 2 [Source:HGNC Symbol;Acc:8898](G:10642, T:10739).</t>
  </si>
  <si>
    <t>ENSCPOP00000009553, ENSCPOP00000015876</t>
  </si>
  <si>
    <t>ENSCPOP00000009655</t>
  </si>
  <si>
    <t>malate dehydrogenase 1, NAD (soluble) [Source:HGNC Symbol;Acc:6970](G:10755, T:10853).</t>
  </si>
  <si>
    <t>ENSCPOP00000009701</t>
  </si>
  <si>
    <t>pep:novel scaffold:cavPor3:scaffold_4:11289897:11299629:-1 gene:ENSCPOG00000022061 transcript:ENSCPOT00000010903</t>
  </si>
  <si>
    <t>ENSCPOP00000009730</t>
  </si>
  <si>
    <t>mannose phosphate isomerase [Source:HGNC Symbol;Acc:7216](G:10835, T:10934).</t>
  </si>
  <si>
    <t>ENSCPOP00000009825</t>
  </si>
  <si>
    <t>spectrin, beta, non-erythrocytic 1 [Source:HGNC Symbol;Acc:11275](G:10934, T:11035).</t>
  </si>
  <si>
    <t>ENSCPOP00000009906</t>
  </si>
  <si>
    <t>actin, beta-like 2 [Source:HGNC Symbol;Acc:17780](G:11023, T:11124).</t>
  </si>
  <si>
    <t>ENSCPOP00000009971</t>
  </si>
  <si>
    <t>ARP1 actin-related protein 1 homolog A, centractin alpha (yeast) [Source:HGNC Symbol;Acc:167](G:11090, T:11193).</t>
  </si>
  <si>
    <t>ENSCPOP00000009972</t>
  </si>
  <si>
    <t>peroxiredoxin 6 [Source:HGNC Symbol;Acc:16753](G:11091, T:11194).</t>
  </si>
  <si>
    <t>ENSCPOP00000010055</t>
  </si>
  <si>
    <t>eukaryotic translation initiation factor 4A2 [Source:HGNC Symbol;Acc:3284](G:11183, T:11287).</t>
  </si>
  <si>
    <t>ENSCPOP00000010076</t>
  </si>
  <si>
    <t>GammaS-crystallin. [Source:UniProtKB/TrEMBL;Acc:Q06EY1](G:11205, T:11311).</t>
  </si>
  <si>
    <t>ENSCPOP00000000161, ENSCPOP00000010076, ENSCPOP00000013563</t>
  </si>
  <si>
    <t>ENSCPOP00000010178</t>
  </si>
  <si>
    <t>tyrosine 3-monooxygenase/tryptophan 5-monooxygenase activation protein, theta polypeptide [Source:HGNC Symbol;Acc:12854](G:11321, T:11427).</t>
  </si>
  <si>
    <t>ENSCPOP00000010434</t>
  </si>
  <si>
    <t>ubinuclein 1 [Source:HGNC Symbol;Acc:12506](G:11599, T:11711).</t>
  </si>
  <si>
    <t>ENSCPOP00000010441</t>
  </si>
  <si>
    <t>periplakin [Source:HGNC Symbol;Acc:9273](G:11608, T:11720).</t>
  </si>
  <si>
    <t>ENSCPOP00000010442</t>
  </si>
  <si>
    <t>protein-L-isoaspartate (D-aspartate) O-methyltransferase [Source:HGNC Symbol;Acc:8728](G:11609, T:11721).</t>
  </si>
  <si>
    <t>ENSCPOP00000010708</t>
  </si>
  <si>
    <t>actinin, alpha 4 [Source:HGNC Symbol;Acc:166](G:11903, T:12018).</t>
  </si>
  <si>
    <t>ENSCPOP00000010729</t>
  </si>
  <si>
    <t>lactate dehydrogenase A [Source:HGNC Symbol;Acc:6535](G:11926, T:12041).</t>
  </si>
  <si>
    <t>ENSCPOP00000010765</t>
  </si>
  <si>
    <t>tubulin, beta 2C [Source:HGNC Symbol;Acc:20771](G:11966, T:12082).</t>
  </si>
  <si>
    <t>ENSCPOP00000011593</t>
  </si>
  <si>
    <t>tubulin, beta 2B [Source:HGNC Symbol;Acc:30829](G:12880, T:13005).</t>
  </si>
  <si>
    <t>ENSCPOP00000010866</t>
  </si>
  <si>
    <t>tubulin, beta [Source:HGNC Symbol;Acc:20778](G:12082, T:12198).</t>
  </si>
  <si>
    <t>ENSCPOP00000010883</t>
  </si>
  <si>
    <t>Cytoplasmic actin (Fragment). [Source:UniProtKB/TrEMBL;Acc:Q9QZB4](G:12101, T:12217).</t>
  </si>
  <si>
    <t>ENSCPOP00000012125</t>
  </si>
  <si>
    <t>Actin, cytoplasmic 1 (Beta-actin). [Source:UniProtKB/Swiss-Prot;Acc:Q71FK5](G:13467, T:13600).</t>
  </si>
  <si>
    <t>ENSCPOP00000011060</t>
  </si>
  <si>
    <t>fatty acid binding protein 3, muscle and heart (mammary-derived growth inhibitor) [Source:HGNC Symbol;Acc:3557](G:12297, T:12413).</t>
  </si>
  <si>
    <t>ENSCPOP00000011099</t>
  </si>
  <si>
    <t>ubiquitin specific peptidase 5 (isopeptidase T) [Source:HGNC Symbol;Acc:12628](G:12336, T:12453).</t>
  </si>
  <si>
    <t>ENSCPOP00000011106</t>
  </si>
  <si>
    <t>triosephosphate isomerase 1 [Source:HGNC Symbol;Acc:12009](G:12344, T:12461).</t>
  </si>
  <si>
    <t>ENSCPOP00000011151</t>
  </si>
  <si>
    <t>BetaB3-crystallin. [Source:UniProtKB/TrEMBL;Acc:A4L9L5](G:12394, T:12512).</t>
  </si>
  <si>
    <t>ENSCPOP00000011185</t>
  </si>
  <si>
    <t>NAD(P)H dehydrogenase [quinone] 1 (EC 1.6.5.2) (Quinone reductase 1) (NAD(P)H:quinone oxidoreductase 1) (QR1) (DT-diaphorase) (DTD) (Azoreductase) (Phylloquinone reductase) (Menadione reductase). [Source:UniProtKB/Swiss-Prot;Acc:Q8CHK7](G:12430, T:12549).</t>
  </si>
  <si>
    <t>ENSCPOP00000011214</t>
  </si>
  <si>
    <t>inositol 1,4,5-triphosphate receptor, type 2 [Source:HGNC Symbol;Acc:6181](G:12462, T:12581).</t>
  </si>
  <si>
    <t>ENSCPOP00000011567</t>
  </si>
  <si>
    <t>annexin A3 [Source:HGNC Symbol;Acc:541](G:12850, T:12975).</t>
  </si>
  <si>
    <t>ENSCPOP00000011580</t>
  </si>
  <si>
    <t>chaperonin containing TCP1, subunit 2 (beta) [Source:HGNC Symbol;Acc:1615](G:12867, T:12992).</t>
  </si>
  <si>
    <t>ENSCPOP00000011640</t>
  </si>
  <si>
    <t>AlphaB-crystallin. [Source:UniProtKB/TrEMBL;Acc:A9LPA2](G:12928, T:13053).</t>
  </si>
  <si>
    <t>ENSCPOP00000011640, ENSCPOP00000015485, ENSCPOP00000017479</t>
  </si>
  <si>
    <t>ENSCPOP00000011718</t>
  </si>
  <si>
    <t>tubulin, alpha 1b [Source:HGNC Symbol;Acc:18809](G:13016, T:13142).</t>
  </si>
  <si>
    <t>ENSCPOP00000019744</t>
  </si>
  <si>
    <t>tubulin, alpha 1b [Source:HGNC Symbol;Acc:18809](G:13016, T:26692).</t>
  </si>
  <si>
    <t>ENSCPOP00000011810</t>
  </si>
  <si>
    <t>aldehyde dehydrogenase 7 family, member A1 [Source:HGNC Symbol;Acc:877](G:13120, T:13247).</t>
  </si>
  <si>
    <t>ENSCPOP00000011823</t>
  </si>
  <si>
    <t>proteasome (prosome, macropain) subunit, alpha type, 2 [Source:HGNC Symbol;Acc:9531](G:13134, T:13261).</t>
  </si>
  <si>
    <t>ENSCPOP00000011828</t>
  </si>
  <si>
    <t>enolase 3 (beta, muscle) [Source:HGNC Symbol;Acc:3354](G:13139, T:13266).</t>
  </si>
  <si>
    <t>ENSCPOP00000012110</t>
  </si>
  <si>
    <t>GDP dissociation inhibitor 2 [Source:HGNC Symbol;Acc:4227](G:13449, T:13581).</t>
  </si>
  <si>
    <t>ENSCPOP00000012172</t>
  </si>
  <si>
    <t>pep:novel scaffold:cavPor3:scaffold_4:8291720:8292367:1 gene:ENSCPOG00000013520 transcript:ENSCPOT00000013654</t>
  </si>
  <si>
    <t>ENSCPOP00000012235</t>
  </si>
  <si>
    <t>NAD(P)H dehydrogenase, quinone 2 [Source:HGNC Symbol;Acc:7856](G:13589, T:13725).</t>
  </si>
  <si>
    <t>ENSCPOP00000012254</t>
  </si>
  <si>
    <t>phosphoglucomutase 2 [Source:HGNC Symbol;Acc:8906](G:13611, T:13747).</t>
  </si>
  <si>
    <t>ENSCPOP00000012309</t>
  </si>
  <si>
    <t>proteasome (prosome, macropain) subunit, alpha type, 5 [Source:HGNC Symbol;Acc:9534](G:13670, T:13808).</t>
  </si>
  <si>
    <t>ENSCPOP00000012385</t>
  </si>
  <si>
    <t>pep:novel scaffold:cavPor3:scaffold_21:28990684:29009949:1 gene:ENSCPOG00000013748 transcript:ENSCPOT00000013888</t>
  </si>
  <si>
    <t>ENSCPOP00000012591</t>
  </si>
  <si>
    <t>pep:novel scaffold:cavPor3:scaffold_21:24161889:24188798:-1 gene:ENSCPOG00000027235 transcript:ENSCPOT00000014114</t>
  </si>
  <si>
    <t>ENSCPOP00000012591, ENSCPOP00000013832, ENSCPOP00000017069, ENSCPOP00000018145</t>
  </si>
  <si>
    <t>ENSCPOP00000012652</t>
  </si>
  <si>
    <t>proteasome (prosome, macropain) subunit, beta type, 5 [Source:HGNC Symbol;Acc:9542](G:14047, T:14189).</t>
  </si>
  <si>
    <t>ENSCPOP00000012665</t>
  </si>
  <si>
    <t>glycerol-3-phosphate dehydrogenase 1-like [Source:HGNC Symbol;Acc:28956](G:14062, T:14204).</t>
  </si>
  <si>
    <t>ENSCPOP00000012735</t>
  </si>
  <si>
    <t>peroxiredoxin 1 [Source:HGNC Symbol;Acc:9352](G:14137, T:14279).</t>
  </si>
  <si>
    <t>ENSCPOP00000012764</t>
  </si>
  <si>
    <t>proteasome (prosome, macropain) subunit, alpha type, 7 [Source:HGNC Symbol;Acc:9536](G:14168, T:14310).</t>
  </si>
  <si>
    <t>ENSCPOP00000012797</t>
  </si>
  <si>
    <t>pep:novel scaffold:cavPor3:scaffold_2:33881865:33886629:1 gene:ENSCPOG00000014205 transcript:ENSCPOT00000014347</t>
  </si>
  <si>
    <t>ENSCPOP00000007027, ENSCPOP00000012797, ENSCPOP00000019620</t>
  </si>
  <si>
    <t>ENSCPOP00000012815</t>
  </si>
  <si>
    <t>Superoxide dismutase [Cu-Zn] (EC 1.15.1.1). [Source:UniProtKB/Swiss-Prot;Acc:P33431](G:14223, T:14365).</t>
  </si>
  <si>
    <t>ENSCPOP00000013199</t>
  </si>
  <si>
    <t>platelet-activating factor acetylhydrolase 1b, regulatory subunit 1 (45kDa) [Source:HGNC Symbol;Acc:8574](G:14648, T:14793).</t>
  </si>
  <si>
    <t>ENSCPOP00000013278</t>
  </si>
  <si>
    <t>heat-responsive protein 12 [Source:HGNC Symbol;Acc:16897](G:14738, T:14883).</t>
  </si>
  <si>
    <t>ENSCPOP00000013280</t>
  </si>
  <si>
    <t>adenosylhomocysteinase [Source:HGNC Symbol;Acc:343](G:14740, T:14885).</t>
  </si>
  <si>
    <t>ENSCPOP00000013515</t>
  </si>
  <si>
    <t>spastic ataxia of Charlevoix-Saguenay (sacsin) [Source:HGNC Symbol;Acc:10519](G:14996, T:15142).</t>
  </si>
  <si>
    <t>ENSCPOP00000013548</t>
  </si>
  <si>
    <t>phosphoglucomutase 5 [Source:HGNC Symbol;Acc:8908](G:15031, T:15178).</t>
  </si>
  <si>
    <t>ENSCPOP00000013563</t>
  </si>
  <si>
    <t>GammaA-crystallin. [Source:UniProtKB/TrEMBL;Acc:A4L9L7](G:15047, T:15194).</t>
  </si>
  <si>
    <t>ENSCPOP00000013832</t>
  </si>
  <si>
    <t>aldehyde dehydrogenase 9 family, member A1 [Source:HGNC Symbol;Acc:412](G:15347, T:15496).</t>
  </si>
  <si>
    <t>ENSCPOP00000014155</t>
  </si>
  <si>
    <t>eukaryotic translation elongation factor 2 [Source:HGNC Symbol;Acc:3214](G:15697, T:15852).</t>
  </si>
  <si>
    <t>ENSCPOP00000014268</t>
  </si>
  <si>
    <t>pep:novel scaffold:cavPor3:scaffold_98:2234804:2235776:1 gene:ENSCPOG00000012576 transcript:ENSCPOT00000021753</t>
  </si>
  <si>
    <t>ENSCPOP00000014268, ENSCPOP00000017692</t>
  </si>
  <si>
    <t>ENSCPOP00000014456</t>
  </si>
  <si>
    <t>Sorbitol dehydrogenase (EC 1.1.1.14) (Fragment). [Source:UniProtKB/TrEMBL;Acc:Q0WXW9](G:2241, T:25735).</t>
  </si>
  <si>
    <t>ENSCPOP00000014729</t>
  </si>
  <si>
    <t>protein phosphatase, Mg2+/Mn2+ dependent, 1F [Source:HGNC Symbol;Acc:19388](G:27062, T:26595).</t>
  </si>
  <si>
    <t>ENSCPOP00000014893</t>
  </si>
  <si>
    <t>tyrosine 3-monooxygenase/tryptophan 5-monooxygenase activation protein, zeta polypeptide [Source:HGNC Symbol;Acc:12855](G:20285, T:20284).</t>
  </si>
  <si>
    <t>ENSCPOP00000015124</t>
  </si>
  <si>
    <t>calpain 2, (m/II) large subunit [Source:HGNC Symbol;Acc:1479](G:21723, T:24361).</t>
  </si>
  <si>
    <t>ENSCPOP00000015445</t>
  </si>
  <si>
    <t>pep:novel scaffold:cavPor3:scaffold_15:27507727:27509055:1 gene:ENSCPOG00000024690 transcript:ENSCPOT00000023855</t>
  </si>
  <si>
    <t>ENSCPOP00000015485</t>
  </si>
  <si>
    <t>Alpha-crystallin A chain [Contains: Alpha-crystallin A chain, short form]. [Source:UniProtKB/Swiss-Prot;Acc:P68281](G:4350, T:21478).</t>
  </si>
  <si>
    <t>ENSCPOP00000015647</t>
  </si>
  <si>
    <t>Glyceraldehyde-3-phosphate dehydrogenase (EC 1.2.1.12) (GAPDH) (Fragment). [Source:UniProtKB/Swiss-Prot;Acc:P70685](G:26350, T:23313).</t>
  </si>
  <si>
    <t>ENSCPOP00000015647, ENSCPOP00000017692</t>
  </si>
  <si>
    <t>ENSCPOP00000016331</t>
  </si>
  <si>
    <t>pep:novel scaffold:cavPor3:scaffold_98:2235292:2235659:1 gene:ENSCPOG00000012576 transcript:ENSCPOT00000023902</t>
  </si>
  <si>
    <t>ENSCPOP00000015876</t>
  </si>
  <si>
    <t>phosphoglycerate kinase 1 [Source:HGNC Symbol;Acc:8896](G:23785, T:19791).</t>
  </si>
  <si>
    <t>ENSCPOP00000015949</t>
  </si>
  <si>
    <t>tubulin, alpha 3d [Source:HGNC Symbol;Acc:24071](G:23852, T:23132).</t>
  </si>
  <si>
    <t>ENSCPOP00000015975</t>
  </si>
  <si>
    <t>pep:novel scaffold:cavPor3:scaffold_4:17945449:17951409:-1 gene:ENSCPOG00000003148 transcript:ENSCPOT00000003191</t>
  </si>
  <si>
    <t>ENSCPOP00000015956</t>
  </si>
  <si>
    <t>phosphogluconate dehydrogenase [Source:HGNC Symbol;Acc:8891](G:24139, T:27591).</t>
  </si>
  <si>
    <t>ENSCPOP00000016078</t>
  </si>
  <si>
    <t>beaded filament structural protein 1, filensin [Source:HGNC Symbol;Acc:1040](G:25787, T:27299).</t>
  </si>
  <si>
    <t>ENSCPOP00000016279</t>
  </si>
  <si>
    <t>phosphoglucomutase 1 [Source:HGNC Symbol;Acc:8905](G:22261, T:27518).</t>
  </si>
  <si>
    <t>ENSCPOP00000016787</t>
  </si>
  <si>
    <t>phosphatidylethanolamine binding protein 1 [Source:HGNC Symbol;Acc:8630](G:24082, T:19892).</t>
  </si>
  <si>
    <t>ENSCPOP00000017069</t>
  </si>
  <si>
    <t>aldehyde dehydrogenase 1 family, member A1 [Source:HGNC Symbol;Acc:402](G:25696, T:22387).</t>
  </si>
  <si>
    <t>ENSCPOP00000017093</t>
  </si>
  <si>
    <t>Nucleoside diphosphate kinase A. [Source:UniProtKB/TrEMBL;Acc:Q99NI2](G:8413, T:8488).</t>
  </si>
  <si>
    <t>ENSCPOP00000017093, ENSCPOP00000020165</t>
  </si>
  <si>
    <t>ENSCPOP00000017361</t>
  </si>
  <si>
    <t>peroxiredoxin 2 [Source:HGNC Symbol;Acc:9353](G:23583, T:21349).</t>
  </si>
  <si>
    <t>ENSCPOP00000017479</t>
  </si>
  <si>
    <t>Alpha-crystallin A chain [Contains: Alpha-crystallin A chain, short form]. [Source:UniProtKB/Swiss-Prot;Acc:P68281](G:4350, T:27446).</t>
  </si>
  <si>
    <t>ENSCPOP00000017498</t>
  </si>
  <si>
    <t>GammaB-crystallin. [Source:UniProtKB/TrEMBL;Acc:A3RLE0](G:22025, T:24996).</t>
  </si>
  <si>
    <t>ENSCPOP00000000161, ENSCPOP00000013563, ENSCPOP00000017498</t>
  </si>
  <si>
    <t>ENSCPOP00000017620</t>
  </si>
  <si>
    <t>AHNAK nucleoprotein [Source:HGNC Symbol;Acc:347](G:20802, T:22986).</t>
  </si>
  <si>
    <t>ENSCPOP00000017636</t>
  </si>
  <si>
    <t>aldolase C, fructose-bisphosphate [Source:HGNC Symbol;Acc:418](G:24763, T:23992).</t>
  </si>
  <si>
    <t>ENSCPOP00000017692</t>
  </si>
  <si>
    <t>Glyceraldehyde-3-phosphate dehydrogenase (EC 1.2.1.12) (GAPDH) (Fragment). [Source:UniProtKB/Swiss-Prot;Acc:P70685](G:26350, T:27490).</t>
  </si>
  <si>
    <t>ENSCPOP00000014268, ENSCPOP00000015647, ENSCPOP00000017692</t>
  </si>
  <si>
    <t>ENSCPOP00000018099</t>
  </si>
  <si>
    <t>pep:novel scaffold:cavPor3:scaffold_98:2234794:2235795:1 gene:ENSCPOG00000012576 transcript:ENSCPOT00000027522</t>
  </si>
  <si>
    <t>ENSCPOP00000018145</t>
  </si>
  <si>
    <t>pep:novel scaffold:cavPor3:scaffold_21:24056042:24087740:-1 gene:ENSCPOG00000021204 transcript:ENSCPOT00000020208</t>
  </si>
  <si>
    <t>ENSCPOP00000018331</t>
  </si>
  <si>
    <t>proteasome (prosome, macropain) subunit, alpha type, 4 [Source:HGNC Symbol;Acc:9533](G:19698, T:26053).</t>
  </si>
  <si>
    <t>ENSCPOP00000018442</t>
  </si>
  <si>
    <t>GRIFIN. [Source:UniProtKB/TrEMBL;Acc:A9LSH6](G:27408, T:28061).</t>
  </si>
  <si>
    <t>ENSCPOP00000018544</t>
  </si>
  <si>
    <t>vesicle amine transport protein 1 homolog (T. californica) [Source:HGNC Symbol;Acc:16919](G:25673, T:20358).</t>
  </si>
  <si>
    <t>ENSCPOP00000018715</t>
  </si>
  <si>
    <t>glucose-6-phosphate dehydrogenase [Source:HGNC Symbol;Acc:4057](G:21395, T:26935).</t>
  </si>
  <si>
    <t>ENSCPOP00000018806</t>
  </si>
  <si>
    <t>pep:novel scaffold:cavPor3:scaffold_66:3394048:3400098:-1 gene:ENSCPOG00000020705 transcript:ENSCPOT00000027150</t>
  </si>
  <si>
    <t>ENSCPOP00000018962</t>
  </si>
  <si>
    <t>E-FABP. [Source:UniProtKB/TrEMBL;Acc:A9QUC5](G:25732, T:24303).</t>
  </si>
  <si>
    <t>ENSCPOP00000019052</t>
  </si>
  <si>
    <t>heat shock 27kDa protein 1 [Source:HGNC Symbol;Acc:5246](G:23568, T:23996).</t>
  </si>
  <si>
    <t>ENSCPOP00000019378</t>
  </si>
  <si>
    <t>proteasome (prosome, macropain) subunit, beta type, 3 [Source:HGNC Symbol;Acc:9540](G:25974, T:22467).</t>
  </si>
  <si>
    <t>ENSCPOP00000019416</t>
  </si>
  <si>
    <t>Lengsin. [Source:UniProtKB/TrEMBL;Acc:Q2LEC3](G:8736, T:22269).</t>
  </si>
  <si>
    <t>ENSCPOP00000019558</t>
  </si>
  <si>
    <t>RAB11B, member RAS oncogene family [Source:HGNC Symbol;Acc:9761](G:21908, T:28204).</t>
  </si>
  <si>
    <t>ENSCPOP00000019620</t>
  </si>
  <si>
    <t>Glutathione S-transferase subunit gYc. [Source:UniProtKB/TrEMBL;Acc:Q91Y83](G:19668, T:22655).</t>
  </si>
  <si>
    <t>ENSCPOP00000020165</t>
  </si>
  <si>
    <t>Nucleoside diphosphate kinase A. [Source:UniProtKB/TrEMBL;Acc:Q99NI2](G:8413, T:21400).</t>
  </si>
  <si>
    <t>ENSCPOP00000020182</t>
  </si>
  <si>
    <t>RNA binding motif protein 12 [Source:HGNC Symbol;Acc:9898](G:22553, T:26555).</t>
  </si>
  <si>
    <t>ENSCPOP00000020281</t>
  </si>
  <si>
    <t>phosphofructokinase, liver [Source:HGNC Symbol;Acc:8876](G:19438, T:26310).</t>
  </si>
  <si>
    <t>ENSCPOP00000020285</t>
  </si>
  <si>
    <t>OTU domain, ubiquitin aldehyde binding 1 [Source:HGNC Symbol;Acc:23077](G:22165, T:21704).</t>
  </si>
  <si>
    <t>ENSCPOP00000020366</t>
  </si>
  <si>
    <t>tyrosine 3-monooxygenase/tryptophan 5-monooxygenase activation protein, beta polypeptide [Source:HGNC Symbol;Acc:12849](G:25836, T:25727).</t>
  </si>
  <si>
    <t>ENSCPOP00000020424</t>
  </si>
  <si>
    <t>pep:novel scaffold:cavPor3:scaffold_44:15161369:15170025:1 gene:ENSCPOG00000025703 transcript:ENSCPOT00000028229</t>
  </si>
  <si>
    <t>ENSCPOP00000020498</t>
  </si>
  <si>
    <t>ADP-ribosylation factor 1 [Source:HGNC Symbol;Acc:652](G:21174, T:20529).</t>
  </si>
  <si>
    <t>ENSCPOP00000021163</t>
  </si>
  <si>
    <t>ADP-ribosylation factor 3 [Source:HGNC Symbol;Acc:654](G:25074, T:10759).</t>
  </si>
  <si>
    <t>REV_ENSCPOP00000000303</t>
  </si>
  <si>
    <t>reversed</t>
  </si>
  <si>
    <t>REVERSED.</t>
  </si>
  <si>
    <t>REV_ENSCPOP00000001830</t>
  </si>
  <si>
    <t>REV_ENSCPOP00000001880</t>
  </si>
  <si>
    <t>REV_ENSCPOP00000002427</t>
  </si>
  <si>
    <t>REV_ENSCPOP00000004550</t>
  </si>
  <si>
    <t>REV_ENSCPOP00000004961</t>
  </si>
  <si>
    <t>REV_ENSCPOP00000005598</t>
  </si>
  <si>
    <t>REV_ENSCPOP00000005630</t>
  </si>
  <si>
    <t>REV_ENSCPOP00000006535</t>
  </si>
  <si>
    <t>REV_ENSCPOP00000007161</t>
  </si>
  <si>
    <t>REV_ENSCPOP00000008245</t>
  </si>
  <si>
    <t>REV_ENSCPOP00000010441</t>
  </si>
  <si>
    <t>REV_ENSCPOP00000011214</t>
  </si>
  <si>
    <t>REV_ENSCPOP00000011400</t>
  </si>
  <si>
    <t>REV_ENSCPOP00000011640</t>
  </si>
  <si>
    <t>REV_ENSCPOP00000013515</t>
  </si>
  <si>
    <t>REV_ENSCPOP00000016877</t>
  </si>
  <si>
    <t>Per Sample Total Spectral Count:</t>
  </si>
  <si>
    <t>Per Sample Total Contaminant Count:</t>
  </si>
  <si>
    <t>Per sample normalization factors:</t>
  </si>
  <si>
    <t>valid_protein_count</t>
  </si>
  <si>
    <t>valid_reversed</t>
  </si>
  <si>
    <t>reject_protein_count</t>
  </si>
  <si>
    <t>reject_reversed</t>
  </si>
  <si>
    <t>Protein report of Spectral Count values performed on Mon Apr 30 15:49:16 2012</t>
  </si>
  <si>
    <t xml:space="preserve">XML file: </t>
  </si>
  <si>
    <t>Database: GP_lens_proteome_v62_20110816_both.fasta (1040 entries)</t>
  </si>
  <si>
    <t>use_samples_list flag</t>
  </si>
  <si>
    <t>calc_ms2_int flag</t>
  </si>
  <si>
    <t>max_num_peaks</t>
  </si>
  <si>
    <t>normalize_counts flag</t>
  </si>
  <si>
    <t>full_peptide_list flag</t>
  </si>
  <si>
    <t>multiple_charge_states_ok flag</t>
  </si>
  <si>
    <t>modifications_ok flag</t>
  </si>
  <si>
    <t>minimum_ntt_per_peptide was</t>
  </si>
  <si>
    <t>minimum_peptide_per_protein</t>
  </si>
  <si>
    <t>minimum_unique_per_protein</t>
  </si>
  <si>
    <t>icat_sample flag</t>
  </si>
  <si>
    <t>allow_prot_nterm_acytl flag</t>
  </si>
  <si>
    <t>Program "PAW_quantitative_report.py" run on Wed May  2 17:12:28 2012</t>
  </si>
  <si>
    <t>Identical</t>
  </si>
  <si>
    <t>Similar</t>
  </si>
  <si>
    <t>CONT_064 (+1)</t>
  </si>
  <si>
    <t>CONT_064&amp;CONT_072</t>
  </si>
  <si>
    <t>CONT_092 (+1)</t>
  </si>
  <si>
    <t>CONT_092&amp;CONT_121</t>
  </si>
  <si>
    <t>ENSCPOP00000000308 (+1)</t>
  </si>
  <si>
    <t>ENSCPOP00000000308&amp;ENSCPOP00000005248</t>
  </si>
  <si>
    <t>ENSCPOP00000008705 (+1)</t>
  </si>
  <si>
    <t>ENSCPOP00000008705&amp;ENSCPOP00000016885</t>
  </si>
  <si>
    <t>ENSCPOP00000010765 (+1)</t>
  </si>
  <si>
    <t>ENSCPOP00000010765&amp;ENSCPOP00000011593</t>
  </si>
  <si>
    <t>ENSCPOP00000010883 (+1)</t>
  </si>
  <si>
    <t>ENSCPOP00000010883&amp;ENSCPOP00000012125</t>
  </si>
  <si>
    <t>ENSCPOP00000020498 (+1)</t>
  </si>
  <si>
    <t>ENSCPOP00000020498&amp;ENSCPOP00000021163</t>
  </si>
  <si>
    <t>CONT_088_family</t>
  </si>
  <si>
    <t>CONT_088&amp;CONT_089</t>
  </si>
  <si>
    <t>CONT_064, CONT_088&amp;CONT_089, ENSCPOP00000006957</t>
  </si>
  <si>
    <t>'(32.1)</t>
  </si>
  <si>
    <t>'(644)</t>
  </si>
  <si>
    <t>'(66019)</t>
  </si>
  <si>
    <t>'(KERATIN, TYPE II CYTOSKELETAL 1 (CYTOKERATIN 1) (K1) (CK 1) (67 KD CYTOKERATIN) (HAIR ALPHA PROTEIN) [Homo sapiens].)</t>
  </si>
  <si>
    <t>ENSCPOP00000011718_family</t>
  </si>
  <si>
    <t>ENSCPOP00000011718&amp;ENSCPOP00000015445&amp;ENSCPOP00000015949&amp;ENSCPOP00000002538</t>
  </si>
  <si>
    <t>'(54.7)</t>
  </si>
  <si>
    <t>'(435)</t>
  </si>
  <si>
    <t>'(48454)</t>
  </si>
  <si>
    <t>'(tubulin, alpha 1b [Source:HGNC Symbol;Acc:18809](G:13016, T:13142).)</t>
  </si>
  <si>
    <t>ENSCPOP00000005241_family</t>
  </si>
  <si>
    <t>ENSCPOP00000005241&amp;ENSCPOP00000011828</t>
  </si>
  <si>
    <t>ENSCPOP00000005241&amp;ENSCPOP00000011828, ENSCPOP00000007974</t>
  </si>
  <si>
    <t>'(70.3)</t>
  </si>
  <si>
    <t>'(434)</t>
  </si>
  <si>
    <t>'(47195)</t>
  </si>
  <si>
    <t>'(Enolase (EC 4.2.1.11). [Source:UniProtKB/TrEMBL;Acc:A9YWS9](G:5812, T:5874).)</t>
  </si>
  <si>
    <t>ENSCPOP00000015876_family</t>
  </si>
  <si>
    <t>ENSCPOP00000015876&amp;ENSCPOP00000009553</t>
  </si>
  <si>
    <t>'(58.9)</t>
  </si>
  <si>
    <t>'(418)</t>
  </si>
  <si>
    <t>'(44718)</t>
  </si>
  <si>
    <t>'(phosphoglycerate kinase 1 [Source:HGNC Symbol;Acc:8896](G:23785, T:19791).)</t>
  </si>
  <si>
    <t>ENSCPOP00000017479_family</t>
  </si>
  <si>
    <t>ENSCPOP00000017479&amp;ENSCPOP00000015485</t>
  </si>
  <si>
    <t>ENSCPOP00000011640, ENSCPOP00000017479&amp;ENSCPOP00000015485</t>
  </si>
  <si>
    <t>'(91.9)</t>
  </si>
  <si>
    <t>'(173)</t>
  </si>
  <si>
    <t>'(19808)</t>
  </si>
  <si>
    <t>'(Alpha-crystallin A chain [Contains: Alpha-crystallin A chain, short form]. [Source:UniProtKB/Swiss-Prot;Acc:P68281](G:4350, T:27446).)</t>
  </si>
  <si>
    <t>ENSCPOP00000017069_family</t>
  </si>
  <si>
    <t>ENSCPOP00000017069&amp;ENSCPOP00000012591&amp;ENSCPOP00000018145</t>
  </si>
  <si>
    <t>ENSCPOP00000013832, ENSCPOP00000017069&amp;ENSCPOP00000012591&amp;ENSCPOP00000018145</t>
  </si>
  <si>
    <t>'(80.5)</t>
  </si>
  <si>
    <t>'(498)</t>
  </si>
  <si>
    <t>'(54618)</t>
  </si>
  <si>
    <t>'(aldehyde dehydrogenase 1 family, member A1 [Source:HGNC Symbol;Acc:402](G:25696, T:22387).)</t>
  </si>
  <si>
    <t>ENSCPOP00000017692_family</t>
  </si>
  <si>
    <t>ENSCPOP00000017692&amp;ENSCPOP00000014268&amp;ENSCPOP00000015647</t>
  </si>
  <si>
    <t>'(66.7)</t>
  </si>
  <si>
    <t>'(333)</t>
  </si>
  <si>
    <t>'(35826)</t>
  </si>
  <si>
    <t>'(Glyceraldehyde-3-phosphate dehydrogenase (EC 1.2.1.12) (GAPDH) (Fragment). [Source:UniProtKB/Swiss-Prot;Acc:P70685](G:26350, T:27490).)</t>
  </si>
  <si>
    <t>PAW_quantitative_protein_report settings:</t>
  </si>
  <si>
    <t>PSEUDO:</t>
  </si>
  <si>
    <t>(used in pseudo-redudant and pseudo-subset tests)</t>
  </si>
  <si>
    <t>LOW:</t>
  </si>
  <si>
    <t>(used in combination test - min. ave. true unique count)</t>
  </si>
  <si>
    <t>SHARE:</t>
  </si>
  <si>
    <t>(used in combination test - absolute ave. share count)</t>
  </si>
  <si>
    <t>MASS:</t>
  </si>
  <si>
    <t>(used in combination test - relative shared-to-unique fraction)</t>
  </si>
  <si>
    <t>Proteins:</t>
  </si>
  <si>
    <t>Candidates:</t>
  </si>
  <si>
    <t>Keepers:</t>
  </si>
  <si>
    <t>CTL</t>
  </si>
  <si>
    <t>HBO</t>
  </si>
  <si>
    <t>Protein Identification Summary</t>
  </si>
  <si>
    <t>Rollover column headings for descriptions</t>
  </si>
  <si>
    <t>prepared by Phil Wilmarth, OHSU, 5/3/2012</t>
  </si>
  <si>
    <t>30 HBO treatment guinea pig lens</t>
  </si>
  <si>
    <t>File:</t>
  </si>
  <si>
    <t>Title:</t>
  </si>
  <si>
    <t>Shotgun proteomic analysis of S-thiolation sites of guinea pig lens nuclear crystallins following oxidative stress in vivo</t>
  </si>
  <si>
    <t>Authors:</t>
  </si>
  <si>
    <t>Giblin, David, Wilmarth, Leverenz, and Simpanya</t>
  </si>
  <si>
    <t>Year:</t>
  </si>
  <si>
    <t>Description:</t>
  </si>
  <si>
    <t>Identified protein reports.</t>
  </si>
  <si>
    <t>"protein_summary" lists the identified proteins having 3 or more distinct peptides per protein from the search with cysteine modifications against a guinea pig lens protein database (520 entries).</t>
  </si>
  <si>
    <t>"quantitative_summary" lists quantifiable proteins where highly homologous proteins having large protions of shared peptides have been grouped together into families.</t>
  </si>
  <si>
    <t>Appendix 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</si>
</sst>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5">
    <font>
      <sz val="10"/>
      <name val="Arial"/>
      <family val="0"/>
    </font>
    <font>
      <b/>
      <sz val="10"/>
      <name val="Arial"/>
      <family val="2"/>
    </font>
    <font>
      <u val="single"/>
      <sz val="10"/>
      <color indexed="12"/>
      <name val="Arial"/>
      <family val="0"/>
    </font>
    <font>
      <b/>
      <sz val="12"/>
      <name val="Arial"/>
      <family val="2"/>
    </font>
    <font>
      <sz val="8"/>
      <name val="Tahoma"/>
      <family val="0"/>
    </font>
    <font>
      <b/>
      <sz val="8"/>
      <name val="Tahoma"/>
      <family val="0"/>
    </font>
    <font>
      <u val="single"/>
      <sz val="10"/>
      <color indexed="36"/>
      <name val="Arial"/>
      <family val="0"/>
    </font>
    <font>
      <sz val="8"/>
      <name val="Arial"/>
      <family val="0"/>
    </font>
    <font>
      <sz val="12"/>
      <name val="Arial"/>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
    <xf numFmtId="0" fontId="0" fillId="0" borderId="0" xfId="0" applyAlignment="1">
      <alignment/>
    </xf>
    <xf numFmtId="0" fontId="1" fillId="0" borderId="0" xfId="0" applyFont="1" applyAlignment="1">
      <alignment/>
    </xf>
    <xf numFmtId="164" fontId="0" fillId="0" borderId="0" xfId="0" applyNumberFormat="1" applyAlignment="1">
      <alignment/>
    </xf>
    <xf numFmtId="164" fontId="1"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165" fontId="0" fillId="0" borderId="0" xfId="0" applyNumberFormat="1" applyAlignment="1">
      <alignment/>
    </xf>
    <xf numFmtId="165" fontId="1" fillId="0" borderId="0" xfId="0" applyNumberFormat="1" applyFont="1" applyAlignment="1">
      <alignment/>
    </xf>
    <xf numFmtId="0" fontId="3" fillId="0" borderId="0" xfId="0" applyFont="1" applyAlignment="1">
      <alignment/>
    </xf>
    <xf numFmtId="0" fontId="3" fillId="0" borderId="0" xfId="0" applyFont="1" applyAlignment="1">
      <alignment horizontal="right"/>
    </xf>
    <xf numFmtId="0" fontId="8" fillId="0" borderId="0" xfId="0" applyFont="1" applyAlignment="1">
      <alignment/>
    </xf>
    <xf numFmtId="0" fontId="9" fillId="0" borderId="0" xfId="0" applyFont="1" applyAlignment="1">
      <alignment/>
    </xf>
    <xf numFmtId="0" fontId="8"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8"/>
  <sheetViews>
    <sheetView tabSelected="1" zoomScalePageLayoutView="0" workbookViewId="0" topLeftCell="A1">
      <selection activeCell="B20" sqref="B20"/>
    </sheetView>
  </sheetViews>
  <sheetFormatPr defaultColWidth="9.140625" defaultRowHeight="12.75"/>
  <cols>
    <col min="1" max="1" width="14.8515625" style="0" bestFit="1" customWidth="1"/>
    <col min="2" max="2" width="119.8515625" style="0" bestFit="1" customWidth="1"/>
  </cols>
  <sheetData>
    <row r="1" spans="1:2" ht="15.75">
      <c r="A1" s="9" t="s">
        <v>598</v>
      </c>
      <c r="B1" s="10" t="s">
        <v>608</v>
      </c>
    </row>
    <row r="2" spans="1:2" ht="15.75">
      <c r="A2" s="9" t="s">
        <v>599</v>
      </c>
      <c r="B2" s="11" t="s">
        <v>600</v>
      </c>
    </row>
    <row r="3" spans="1:2" ht="15.75">
      <c r="A3" s="9" t="s">
        <v>601</v>
      </c>
      <c r="B3" s="10" t="s">
        <v>602</v>
      </c>
    </row>
    <row r="4" spans="1:2" ht="15.75">
      <c r="A4" s="9" t="s">
        <v>603</v>
      </c>
      <c r="B4" s="12">
        <v>2012</v>
      </c>
    </row>
    <row r="5" spans="1:2" ht="15.75">
      <c r="A5" s="9" t="s">
        <v>604</v>
      </c>
      <c r="B5" s="10" t="s">
        <v>605</v>
      </c>
    </row>
    <row r="6" ht="15">
      <c r="B6" s="10" t="s">
        <v>606</v>
      </c>
    </row>
    <row r="7" ht="15">
      <c r="B7" s="10" t="s">
        <v>607</v>
      </c>
    </row>
    <row r="8" ht="15">
      <c r="B8" s="10"/>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64"/>
  <sheetViews>
    <sheetView zoomScalePageLayoutView="0" workbookViewId="0" topLeftCell="A1">
      <selection activeCell="A9" sqref="A9"/>
    </sheetView>
  </sheetViews>
  <sheetFormatPr defaultColWidth="9.140625" defaultRowHeight="12.75"/>
  <cols>
    <col min="1" max="1" width="12.28125" style="0" customWidth="1"/>
    <col min="2" max="2" width="11.00390625" style="0" customWidth="1"/>
    <col min="3" max="3" width="26.57421875" style="0" bestFit="1" customWidth="1"/>
    <col min="4" max="4" width="13.421875" style="0" bestFit="1" customWidth="1"/>
    <col min="5" max="5" width="11.140625" style="0" bestFit="1" customWidth="1"/>
    <col min="6" max="6" width="12.00390625" style="2" bestFit="1" customWidth="1"/>
    <col min="7" max="7" width="13.140625" style="4" bestFit="1" customWidth="1"/>
    <col min="8" max="8" width="9.140625" style="4" customWidth="1"/>
    <col min="9" max="9" width="28.28125" style="0" customWidth="1"/>
    <col min="10" max="10" width="12.28125" style="4" bestFit="1" customWidth="1"/>
    <col min="11" max="11" width="12.57421875" style="4" bestFit="1" customWidth="1"/>
    <col min="12" max="12" width="11.421875" style="6" bestFit="1" customWidth="1"/>
    <col min="17" max="18" width="9.8515625" style="2" bestFit="1" customWidth="1"/>
    <col min="19" max="19" width="18.00390625" style="0" customWidth="1"/>
  </cols>
  <sheetData>
    <row r="1" ht="15.75">
      <c r="A1" s="8" t="s">
        <v>594</v>
      </c>
    </row>
    <row r="2" ht="12.75">
      <c r="A2" t="s">
        <v>597</v>
      </c>
    </row>
    <row r="3" ht="12.75">
      <c r="A3" t="s">
        <v>595</v>
      </c>
    </row>
    <row r="4" ht="12.75">
      <c r="A4" t="s">
        <v>596</v>
      </c>
    </row>
    <row r="5" ht="12.75"/>
    <row r="6" ht="12.75"/>
    <row r="7" ht="12.75"/>
    <row r="8" spans="2:18" s="1" customFormat="1" ht="12.75">
      <c r="B8" s="1">
        <f>SUBTOTAL(109,B10:B238)</f>
        <v>229</v>
      </c>
      <c r="F8" s="3"/>
      <c r="G8" s="5"/>
      <c r="H8" s="5"/>
      <c r="J8" s="5"/>
      <c r="K8" s="5"/>
      <c r="L8" s="7"/>
      <c r="M8" s="1" t="s">
        <v>0</v>
      </c>
      <c r="N8" s="1" t="s">
        <v>0</v>
      </c>
      <c r="O8" s="1" t="s">
        <v>1</v>
      </c>
      <c r="P8" s="1" t="s">
        <v>1</v>
      </c>
      <c r="Q8" s="3" t="s">
        <v>2</v>
      </c>
      <c r="R8" s="3" t="s">
        <v>2</v>
      </c>
    </row>
    <row r="9" spans="1:19" s="1" customFormat="1" ht="12.75">
      <c r="A9" s="1" t="s">
        <v>3</v>
      </c>
      <c r="B9" s="1" t="s">
        <v>4</v>
      </c>
      <c r="C9" s="1" t="s">
        <v>5</v>
      </c>
      <c r="D9" s="1" t="s">
        <v>6</v>
      </c>
      <c r="E9" s="1" t="s">
        <v>7</v>
      </c>
      <c r="F9" s="3" t="s">
        <v>8</v>
      </c>
      <c r="G9" s="5" t="s">
        <v>9</v>
      </c>
      <c r="H9" s="5" t="s">
        <v>10</v>
      </c>
      <c r="I9" s="1" t="s">
        <v>11</v>
      </c>
      <c r="J9" s="5" t="s">
        <v>12</v>
      </c>
      <c r="K9" s="5" t="s">
        <v>13</v>
      </c>
      <c r="L9" s="7" t="s">
        <v>14</v>
      </c>
      <c r="M9" s="1" t="s">
        <v>592</v>
      </c>
      <c r="N9" s="1" t="s">
        <v>593</v>
      </c>
      <c r="O9" s="1" t="s">
        <v>592</v>
      </c>
      <c r="P9" s="1" t="s">
        <v>593</v>
      </c>
      <c r="Q9" s="3" t="s">
        <v>592</v>
      </c>
      <c r="R9" s="3" t="s">
        <v>593</v>
      </c>
      <c r="S9" s="1" t="s">
        <v>15</v>
      </c>
    </row>
    <row r="10" spans="1:19" ht="12.75">
      <c r="A10">
        <v>73</v>
      </c>
      <c r="B10">
        <v>1</v>
      </c>
      <c r="C10" t="s">
        <v>185</v>
      </c>
      <c r="D10" t="str">
        <f>HYPERLINK("http://www.ensembl.org/Cavia_porcellus/protview?peptide=ENSCPOP00000005873","P00000005873")</f>
        <v>P00000005873</v>
      </c>
      <c r="F10" s="2">
        <v>89.1</v>
      </c>
      <c r="G10" s="4">
        <v>329</v>
      </c>
      <c r="H10" s="4">
        <v>35203</v>
      </c>
      <c r="I10" t="s">
        <v>186</v>
      </c>
      <c r="J10" s="4">
        <v>9001</v>
      </c>
      <c r="K10" s="4">
        <v>9001</v>
      </c>
      <c r="L10" s="6">
        <v>1</v>
      </c>
      <c r="M10">
        <v>4087</v>
      </c>
      <c r="N10">
        <v>4914</v>
      </c>
      <c r="O10">
        <v>4087</v>
      </c>
      <c r="P10">
        <v>4914</v>
      </c>
      <c r="Q10" s="2">
        <v>4087</v>
      </c>
      <c r="R10" s="2">
        <v>4914</v>
      </c>
      <c r="S10" t="s">
        <v>17</v>
      </c>
    </row>
    <row r="11" spans="1:19" ht="12.75">
      <c r="A11">
        <v>179</v>
      </c>
      <c r="B11">
        <v>1</v>
      </c>
      <c r="C11" t="s">
        <v>424</v>
      </c>
      <c r="D11" t="str">
        <f>HYPERLINK("http://www.ensembl.org/Cavia_porcellus/protview?peptide=ENSCPOP00000017498","P00000017498")</f>
        <v>P00000017498</v>
      </c>
      <c r="F11" s="2">
        <v>92</v>
      </c>
      <c r="G11" s="4">
        <v>175</v>
      </c>
      <c r="H11" s="4">
        <v>21158</v>
      </c>
      <c r="I11" t="s">
        <v>425</v>
      </c>
      <c r="J11" s="4">
        <v>7150</v>
      </c>
      <c r="K11" s="4">
        <v>3758</v>
      </c>
      <c r="L11" s="6">
        <v>0.526</v>
      </c>
      <c r="M11">
        <v>3571</v>
      </c>
      <c r="N11">
        <v>3579</v>
      </c>
      <c r="O11">
        <v>1873</v>
      </c>
      <c r="P11">
        <v>1885</v>
      </c>
      <c r="Q11" s="2">
        <v>2681.517</v>
      </c>
      <c r="R11" s="2">
        <v>2646.98</v>
      </c>
      <c r="S11" t="s">
        <v>426</v>
      </c>
    </row>
    <row r="12" spans="1:19" ht="12.75">
      <c r="A12">
        <v>13</v>
      </c>
      <c r="B12">
        <v>1</v>
      </c>
      <c r="C12" t="s">
        <v>50</v>
      </c>
      <c r="D12" t="str">
        <f>HYPERLINK("http://www.ensembl.org/Cavia_porcellus/protview?peptide=ENSCPOP00000000161","P00000000161")</f>
        <v>P00000000161</v>
      </c>
      <c r="F12" s="2">
        <v>92.5</v>
      </c>
      <c r="G12" s="4">
        <v>174</v>
      </c>
      <c r="H12" s="4">
        <v>21067</v>
      </c>
      <c r="I12" t="s">
        <v>51</v>
      </c>
      <c r="J12" s="4">
        <v>6579</v>
      </c>
      <c r="K12" s="4">
        <v>3097</v>
      </c>
      <c r="L12" s="6">
        <v>0.471</v>
      </c>
      <c r="M12">
        <v>3205</v>
      </c>
      <c r="N12">
        <v>3374</v>
      </c>
      <c r="O12">
        <v>1456</v>
      </c>
      <c r="P12">
        <v>1641</v>
      </c>
      <c r="Q12" s="2">
        <v>2119.651</v>
      </c>
      <c r="R12" s="2">
        <v>2331.528</v>
      </c>
      <c r="S12" t="s">
        <v>52</v>
      </c>
    </row>
    <row r="13" spans="1:19" ht="12.75">
      <c r="A13">
        <v>117</v>
      </c>
      <c r="B13">
        <v>1</v>
      </c>
      <c r="C13" t="s">
        <v>283</v>
      </c>
      <c r="D13" t="str">
        <f>HYPERLINK("http://www.ensembl.org/Cavia_porcellus/protview?peptide=ENSCPOP00000010076","P00000010076")</f>
        <v>P00000010076</v>
      </c>
      <c r="F13" s="2">
        <v>91.6</v>
      </c>
      <c r="G13" s="4">
        <v>178</v>
      </c>
      <c r="H13" s="4">
        <v>20935</v>
      </c>
      <c r="I13" t="s">
        <v>284</v>
      </c>
      <c r="J13" s="4">
        <v>5896</v>
      </c>
      <c r="K13" s="4">
        <v>5891</v>
      </c>
      <c r="L13" s="6">
        <v>0.999</v>
      </c>
      <c r="M13">
        <v>3140</v>
      </c>
      <c r="N13">
        <v>2756</v>
      </c>
      <c r="O13">
        <v>3137</v>
      </c>
      <c r="P13">
        <v>2754</v>
      </c>
      <c r="Q13" s="2">
        <v>3138.809</v>
      </c>
      <c r="R13" s="2">
        <v>2755.087</v>
      </c>
      <c r="S13" t="s">
        <v>285</v>
      </c>
    </row>
    <row r="14" spans="1:19" ht="12.75">
      <c r="A14">
        <v>45</v>
      </c>
      <c r="B14">
        <v>1</v>
      </c>
      <c r="C14" t="s">
        <v>125</v>
      </c>
      <c r="D14" t="str">
        <f>HYPERLINK("http://www.ensembl.org/Cavia_porcellus/protview?peptide=ENSCPOP00000003327","P00000003327")</f>
        <v>P00000003327</v>
      </c>
      <c r="F14" s="2">
        <v>92.2</v>
      </c>
      <c r="G14" s="4">
        <v>205</v>
      </c>
      <c r="H14" s="4">
        <v>23395</v>
      </c>
      <c r="I14" t="s">
        <v>126</v>
      </c>
      <c r="J14" s="4">
        <v>5596</v>
      </c>
      <c r="K14" s="4">
        <v>5578</v>
      </c>
      <c r="L14" s="6">
        <v>0.997</v>
      </c>
      <c r="M14">
        <v>2874</v>
      </c>
      <c r="N14">
        <v>2722</v>
      </c>
      <c r="O14">
        <v>2866</v>
      </c>
      <c r="P14">
        <v>2712</v>
      </c>
      <c r="Q14" s="2">
        <v>2870.183</v>
      </c>
      <c r="R14" s="2">
        <v>2717.18</v>
      </c>
      <c r="S14" t="s">
        <v>127</v>
      </c>
    </row>
    <row r="15" spans="1:19" ht="12.75">
      <c r="A15">
        <v>178</v>
      </c>
      <c r="B15">
        <v>1</v>
      </c>
      <c r="C15" t="s">
        <v>422</v>
      </c>
      <c r="D15" t="str">
        <f>HYPERLINK("http://www.ensembl.org/Cavia_porcellus/protview?peptide=ENSCPOP00000017479","P00000017479")</f>
        <v>P00000017479</v>
      </c>
      <c r="F15" s="2">
        <v>91.9</v>
      </c>
      <c r="G15" s="4">
        <v>173</v>
      </c>
      <c r="H15" s="4">
        <v>19808</v>
      </c>
      <c r="I15" t="s">
        <v>423</v>
      </c>
      <c r="J15" s="4">
        <v>5404</v>
      </c>
      <c r="K15" s="4">
        <v>578</v>
      </c>
      <c r="L15" s="6">
        <v>0.107</v>
      </c>
      <c r="M15">
        <v>2237</v>
      </c>
      <c r="N15">
        <v>3167</v>
      </c>
      <c r="O15">
        <v>237</v>
      </c>
      <c r="P15">
        <v>341</v>
      </c>
      <c r="Q15" s="2">
        <v>2095.039</v>
      </c>
      <c r="R15" s="2">
        <v>2988.434</v>
      </c>
      <c r="S15" t="s">
        <v>326</v>
      </c>
    </row>
    <row r="16" spans="1:19" ht="12.75">
      <c r="A16">
        <v>167</v>
      </c>
      <c r="B16">
        <v>1</v>
      </c>
      <c r="C16" t="s">
        <v>394</v>
      </c>
      <c r="D16" t="str">
        <f>HYPERLINK("http://www.ensembl.org/Cavia_porcellus/protview?peptide=ENSCPOP00000015485","P00000015485")</f>
        <v>P00000015485</v>
      </c>
      <c r="F16" s="2">
        <v>87.9</v>
      </c>
      <c r="G16" s="4">
        <v>199</v>
      </c>
      <c r="H16" s="4">
        <v>22748</v>
      </c>
      <c r="I16" t="s">
        <v>395</v>
      </c>
      <c r="J16" s="4">
        <v>4867</v>
      </c>
      <c r="K16" s="4">
        <v>41</v>
      </c>
      <c r="L16" s="6">
        <v>0.008</v>
      </c>
      <c r="M16">
        <v>2018</v>
      </c>
      <c r="N16">
        <v>2849</v>
      </c>
      <c r="O16">
        <v>18</v>
      </c>
      <c r="P16">
        <v>23</v>
      </c>
      <c r="Q16" s="2">
        <v>159.117</v>
      </c>
      <c r="R16" s="2">
        <v>201.566</v>
      </c>
      <c r="S16" t="s">
        <v>326</v>
      </c>
    </row>
    <row r="17" spans="1:19" ht="12.75">
      <c r="A17">
        <v>158</v>
      </c>
      <c r="B17">
        <v>1</v>
      </c>
      <c r="C17" t="s">
        <v>375</v>
      </c>
      <c r="D17" t="str">
        <f>HYPERLINK("http://www.ensembl.org/Cavia_porcellus/protview?peptide=ENSCPOP00000013563","P00000013563")</f>
        <v>P00000013563</v>
      </c>
      <c r="F17" s="2">
        <v>89.1</v>
      </c>
      <c r="G17" s="4">
        <v>174</v>
      </c>
      <c r="H17" s="4">
        <v>20953</v>
      </c>
      <c r="I17" t="s">
        <v>376</v>
      </c>
      <c r="J17" s="4">
        <v>4771</v>
      </c>
      <c r="K17" s="4">
        <v>1281</v>
      </c>
      <c r="L17" s="6">
        <v>0.268</v>
      </c>
      <c r="M17">
        <v>2363</v>
      </c>
      <c r="N17">
        <v>2408</v>
      </c>
      <c r="O17">
        <v>610</v>
      </c>
      <c r="P17">
        <v>671</v>
      </c>
      <c r="Q17" s="2">
        <v>889.023</v>
      </c>
      <c r="R17" s="2">
        <v>954.405</v>
      </c>
      <c r="S17" t="s">
        <v>52</v>
      </c>
    </row>
    <row r="18" spans="1:19" ht="12.75">
      <c r="A18">
        <v>60</v>
      </c>
      <c r="B18">
        <v>1</v>
      </c>
      <c r="C18" t="s">
        <v>156</v>
      </c>
      <c r="D18" t="str">
        <f>HYPERLINK("http://www.ensembl.org/Cavia_porcellus/protview?peptide=ENSCPOP00000004629","P00000004629")</f>
        <v>P00000004629</v>
      </c>
      <c r="F18" s="2">
        <v>91.1</v>
      </c>
      <c r="G18" s="4">
        <v>248</v>
      </c>
      <c r="H18" s="4">
        <v>27793</v>
      </c>
      <c r="I18" t="s">
        <v>157</v>
      </c>
      <c r="J18" s="4">
        <v>4608</v>
      </c>
      <c r="K18" s="4">
        <v>4590</v>
      </c>
      <c r="L18" s="6">
        <v>0.996</v>
      </c>
      <c r="M18">
        <v>2402</v>
      </c>
      <c r="N18">
        <v>2206</v>
      </c>
      <c r="O18">
        <v>2394</v>
      </c>
      <c r="P18">
        <v>2196</v>
      </c>
      <c r="Q18" s="2">
        <v>2397.494</v>
      </c>
      <c r="R18" s="2">
        <v>2200.194</v>
      </c>
      <c r="S18" t="s">
        <v>127</v>
      </c>
    </row>
    <row r="19" spans="1:19" ht="12.75">
      <c r="A19">
        <v>29</v>
      </c>
      <c r="B19">
        <v>1</v>
      </c>
      <c r="C19" t="s">
        <v>87</v>
      </c>
      <c r="D19" t="str">
        <f>HYPERLINK("http://www.ensembl.org/Cavia_porcellus/protview?peptide=ENSCPOP00000001917","P00000001917")</f>
        <v>P00000001917</v>
      </c>
      <c r="F19" s="2">
        <v>95.9</v>
      </c>
      <c r="G19" s="4">
        <v>196</v>
      </c>
      <c r="H19" s="4">
        <v>22472</v>
      </c>
      <c r="I19" t="s">
        <v>88</v>
      </c>
      <c r="J19" s="4">
        <v>3750</v>
      </c>
      <c r="K19" s="4">
        <v>3745</v>
      </c>
      <c r="L19" s="6">
        <v>0.999</v>
      </c>
      <c r="M19">
        <v>1928</v>
      </c>
      <c r="N19">
        <v>1822</v>
      </c>
      <c r="O19">
        <v>1926</v>
      </c>
      <c r="P19">
        <v>1819</v>
      </c>
      <c r="Q19" s="2">
        <v>1927</v>
      </c>
      <c r="R19" s="2">
        <v>1820.603</v>
      </c>
      <c r="S19" t="s">
        <v>89</v>
      </c>
    </row>
    <row r="20" spans="1:19" ht="12.75">
      <c r="A20">
        <v>39</v>
      </c>
      <c r="B20">
        <v>1</v>
      </c>
      <c r="C20" t="s">
        <v>111</v>
      </c>
      <c r="D20" t="str">
        <f>HYPERLINK("http://www.ensembl.org/Cavia_porcellus/protview?peptide=ENSCPOP00000002557","P00000002557")</f>
        <v>P00000002557</v>
      </c>
      <c r="F20" s="2">
        <v>87.9</v>
      </c>
      <c r="G20" s="4">
        <v>215</v>
      </c>
      <c r="H20" s="4">
        <v>25215</v>
      </c>
      <c r="I20" t="s">
        <v>112</v>
      </c>
      <c r="J20" s="4">
        <v>3519</v>
      </c>
      <c r="K20" s="4">
        <v>3511</v>
      </c>
      <c r="L20" s="6">
        <v>0.998</v>
      </c>
      <c r="M20">
        <v>1929</v>
      </c>
      <c r="N20">
        <v>1590</v>
      </c>
      <c r="O20">
        <v>1926</v>
      </c>
      <c r="P20">
        <v>1585</v>
      </c>
      <c r="Q20" s="2">
        <v>1927.248</v>
      </c>
      <c r="R20" s="2">
        <v>1586.841</v>
      </c>
      <c r="S20" t="s">
        <v>113</v>
      </c>
    </row>
    <row r="21" spans="1:19" ht="12.75">
      <c r="A21">
        <v>135</v>
      </c>
      <c r="B21">
        <v>1</v>
      </c>
      <c r="C21" t="s">
        <v>324</v>
      </c>
      <c r="D21" t="str">
        <f>HYPERLINK("http://www.ensembl.org/Cavia_porcellus/protview?peptide=ENSCPOP00000011640","P00000011640")</f>
        <v>P00000011640</v>
      </c>
      <c r="F21" s="2">
        <v>88</v>
      </c>
      <c r="G21" s="4">
        <v>175</v>
      </c>
      <c r="H21" s="4">
        <v>20166</v>
      </c>
      <c r="I21" t="s">
        <v>325</v>
      </c>
      <c r="J21" s="4">
        <v>3194</v>
      </c>
      <c r="K21" s="4">
        <v>3193</v>
      </c>
      <c r="L21" s="6">
        <v>1</v>
      </c>
      <c r="M21">
        <v>1380</v>
      </c>
      <c r="N21">
        <v>1814</v>
      </c>
      <c r="O21">
        <v>1379</v>
      </c>
      <c r="P21">
        <v>1814</v>
      </c>
      <c r="Q21" s="2">
        <v>1379.844</v>
      </c>
      <c r="R21" s="2">
        <v>1814</v>
      </c>
      <c r="S21" t="s">
        <v>326</v>
      </c>
    </row>
    <row r="22" spans="1:19" ht="12.75">
      <c r="A22">
        <v>130</v>
      </c>
      <c r="B22">
        <v>1</v>
      </c>
      <c r="C22" t="s">
        <v>314</v>
      </c>
      <c r="D22" t="str">
        <f>HYPERLINK("http://www.ensembl.org/Cavia_porcellus/protview?peptide=ENSCPOP00000011151","P00000011151")</f>
        <v>P00000011151</v>
      </c>
      <c r="F22" s="2">
        <v>86.7</v>
      </c>
      <c r="G22" s="4">
        <v>211</v>
      </c>
      <c r="H22" s="4">
        <v>23982</v>
      </c>
      <c r="I22" t="s">
        <v>315</v>
      </c>
      <c r="J22" s="4">
        <v>2611</v>
      </c>
      <c r="K22" s="4">
        <v>2611</v>
      </c>
      <c r="L22" s="6">
        <v>1</v>
      </c>
      <c r="M22">
        <v>1367</v>
      </c>
      <c r="N22">
        <v>1244</v>
      </c>
      <c r="O22">
        <v>1367</v>
      </c>
      <c r="P22">
        <v>1244</v>
      </c>
      <c r="Q22" s="2">
        <v>1367</v>
      </c>
      <c r="R22" s="2">
        <v>1244</v>
      </c>
      <c r="S22" t="s">
        <v>17</v>
      </c>
    </row>
    <row r="23" spans="1:19" ht="12.75">
      <c r="A23">
        <v>99</v>
      </c>
      <c r="B23">
        <v>1</v>
      </c>
      <c r="C23" t="s">
        <v>242</v>
      </c>
      <c r="D23" t="str">
        <f>HYPERLINK("http://www.ensembl.org/Cavia_porcellus/protview?peptide=ENSCPOP00000008199","P00000008199")</f>
        <v>P00000008199</v>
      </c>
      <c r="F23" s="2">
        <v>86.3</v>
      </c>
      <c r="G23" s="4">
        <v>197</v>
      </c>
      <c r="H23" s="4">
        <v>22182</v>
      </c>
      <c r="I23" t="s">
        <v>243</v>
      </c>
      <c r="J23" s="4">
        <v>1228</v>
      </c>
      <c r="K23" s="4">
        <v>1225</v>
      </c>
      <c r="L23" s="6">
        <v>0.998</v>
      </c>
      <c r="M23">
        <v>575</v>
      </c>
      <c r="N23">
        <v>653</v>
      </c>
      <c r="O23">
        <v>574</v>
      </c>
      <c r="P23">
        <v>651</v>
      </c>
      <c r="Q23" s="2">
        <v>574.074</v>
      </c>
      <c r="R23" s="2">
        <v>651.182</v>
      </c>
      <c r="S23" t="s">
        <v>127</v>
      </c>
    </row>
    <row r="24" spans="1:19" ht="12.75">
      <c r="A24">
        <v>4</v>
      </c>
      <c r="B24">
        <v>1</v>
      </c>
      <c r="C24" t="s">
        <v>26</v>
      </c>
      <c r="D24" t="s">
        <v>17</v>
      </c>
      <c r="E24" t="s">
        <v>18</v>
      </c>
      <c r="F24" s="2">
        <v>78.7</v>
      </c>
      <c r="G24" s="4">
        <v>607</v>
      </c>
      <c r="H24" s="4">
        <v>69271</v>
      </c>
      <c r="I24" t="s">
        <v>27</v>
      </c>
      <c r="J24" s="4">
        <v>881</v>
      </c>
      <c r="K24" s="4">
        <v>406</v>
      </c>
      <c r="L24" s="6">
        <v>0.461</v>
      </c>
      <c r="M24">
        <v>754</v>
      </c>
      <c r="N24">
        <v>127</v>
      </c>
      <c r="O24">
        <v>356</v>
      </c>
      <c r="P24">
        <v>50</v>
      </c>
      <c r="Q24" s="2">
        <v>710.97</v>
      </c>
      <c r="R24" s="2">
        <v>106.356</v>
      </c>
      <c r="S24" t="s">
        <v>25</v>
      </c>
    </row>
    <row r="25" spans="1:19" ht="12.75">
      <c r="A25">
        <v>66</v>
      </c>
      <c r="B25">
        <v>1</v>
      </c>
      <c r="C25" t="s">
        <v>168</v>
      </c>
      <c r="D25" t="str">
        <f>HYPERLINK("http://www.ensembl.org/Cavia_porcellus/protview?peptide=ENSCPOP00000005241","P00000005241")</f>
        <v>P00000005241</v>
      </c>
      <c r="F25" s="2">
        <v>70.3</v>
      </c>
      <c r="G25" s="4">
        <v>434</v>
      </c>
      <c r="H25" s="4">
        <v>47195</v>
      </c>
      <c r="I25" t="s">
        <v>169</v>
      </c>
      <c r="J25" s="4">
        <v>706</v>
      </c>
      <c r="K25" s="4">
        <v>495</v>
      </c>
      <c r="L25" s="6">
        <v>0.701</v>
      </c>
      <c r="M25">
        <v>350</v>
      </c>
      <c r="N25">
        <v>356</v>
      </c>
      <c r="O25">
        <v>243</v>
      </c>
      <c r="P25">
        <v>252</v>
      </c>
      <c r="Q25" s="2">
        <v>337.569</v>
      </c>
      <c r="R25" s="2">
        <v>351.143</v>
      </c>
      <c r="S25" t="s">
        <v>170</v>
      </c>
    </row>
    <row r="26" spans="1:19" ht="12.75">
      <c r="A26">
        <v>2</v>
      </c>
      <c r="B26">
        <v>1</v>
      </c>
      <c r="C26" t="s">
        <v>21</v>
      </c>
      <c r="D26" t="s">
        <v>17</v>
      </c>
      <c r="E26" t="s">
        <v>18</v>
      </c>
      <c r="F26" s="2">
        <v>79.2</v>
      </c>
      <c r="G26" s="4">
        <v>231</v>
      </c>
      <c r="H26" s="4">
        <v>24410</v>
      </c>
      <c r="I26" t="s">
        <v>22</v>
      </c>
      <c r="J26" s="4">
        <v>623</v>
      </c>
      <c r="K26" s="4">
        <v>522</v>
      </c>
      <c r="L26" s="6">
        <v>0.838</v>
      </c>
      <c r="M26">
        <v>319</v>
      </c>
      <c r="N26">
        <v>304</v>
      </c>
      <c r="O26">
        <v>268</v>
      </c>
      <c r="P26">
        <v>254</v>
      </c>
      <c r="Q26" s="2">
        <v>294.959</v>
      </c>
      <c r="R26" s="2">
        <v>278.951</v>
      </c>
      <c r="S26" t="s">
        <v>20</v>
      </c>
    </row>
    <row r="27" spans="1:19" ht="12.75">
      <c r="A27">
        <v>1</v>
      </c>
      <c r="B27">
        <v>1</v>
      </c>
      <c r="C27" t="s">
        <v>16</v>
      </c>
      <c r="D27" t="s">
        <v>17</v>
      </c>
      <c r="E27" t="s">
        <v>18</v>
      </c>
      <c r="F27" s="2">
        <v>100</v>
      </c>
      <c r="G27" s="4">
        <v>50</v>
      </c>
      <c r="H27" s="4">
        <v>5561</v>
      </c>
      <c r="I27" t="s">
        <v>19</v>
      </c>
      <c r="J27" s="4">
        <v>595</v>
      </c>
      <c r="K27" s="4">
        <v>494</v>
      </c>
      <c r="L27" s="6">
        <v>0.83</v>
      </c>
      <c r="M27">
        <v>290</v>
      </c>
      <c r="N27">
        <v>305</v>
      </c>
      <c r="O27">
        <v>239</v>
      </c>
      <c r="P27">
        <v>255</v>
      </c>
      <c r="Q27" s="2">
        <v>263.041</v>
      </c>
      <c r="R27" s="2">
        <v>280.049</v>
      </c>
      <c r="S27" t="s">
        <v>20</v>
      </c>
    </row>
    <row r="28" spans="1:19" ht="12.75">
      <c r="A28">
        <v>175</v>
      </c>
      <c r="B28">
        <v>1</v>
      </c>
      <c r="C28" t="s">
        <v>415</v>
      </c>
      <c r="D28" t="str">
        <f>HYPERLINK("http://www.ensembl.org/Cavia_porcellus/protview?peptide=ENSCPOP00000017069","P00000017069")</f>
        <v>P00000017069</v>
      </c>
      <c r="F28" s="2">
        <v>80.5</v>
      </c>
      <c r="G28" s="4">
        <v>498</v>
      </c>
      <c r="H28" s="4">
        <v>54618</v>
      </c>
      <c r="I28" t="s">
        <v>416</v>
      </c>
      <c r="J28" s="4">
        <v>573</v>
      </c>
      <c r="K28" s="4">
        <v>260</v>
      </c>
      <c r="L28" s="6">
        <v>0.454</v>
      </c>
      <c r="M28">
        <v>341</v>
      </c>
      <c r="N28">
        <v>232</v>
      </c>
      <c r="O28">
        <v>154</v>
      </c>
      <c r="P28">
        <v>106</v>
      </c>
      <c r="Q28" s="2">
        <v>334.534</v>
      </c>
      <c r="R28" s="2">
        <v>228.917</v>
      </c>
      <c r="S28" t="s">
        <v>351</v>
      </c>
    </row>
    <row r="29" spans="1:19" ht="12.75">
      <c r="A29">
        <v>189</v>
      </c>
      <c r="B29">
        <v>1</v>
      </c>
      <c r="C29" t="s">
        <v>448</v>
      </c>
      <c r="D29" t="str">
        <f>HYPERLINK("http://www.ensembl.org/Cavia_porcellus/protview?peptide=ENSCPOP00000018962","P00000018962")</f>
        <v>P00000018962</v>
      </c>
      <c r="F29" s="2">
        <v>83.7</v>
      </c>
      <c r="G29" s="4">
        <v>135</v>
      </c>
      <c r="H29" s="4">
        <v>15057</v>
      </c>
      <c r="I29" t="s">
        <v>449</v>
      </c>
      <c r="J29" s="4">
        <v>548</v>
      </c>
      <c r="K29" s="4">
        <v>548</v>
      </c>
      <c r="L29" s="6">
        <v>1</v>
      </c>
      <c r="M29">
        <v>301</v>
      </c>
      <c r="N29">
        <v>247</v>
      </c>
      <c r="O29">
        <v>301</v>
      </c>
      <c r="P29">
        <v>247</v>
      </c>
      <c r="Q29" s="2">
        <v>301</v>
      </c>
      <c r="R29" s="2">
        <v>247</v>
      </c>
      <c r="S29" t="s">
        <v>17</v>
      </c>
    </row>
    <row r="30" spans="1:19" ht="12.75">
      <c r="A30">
        <v>3</v>
      </c>
      <c r="B30">
        <v>1</v>
      </c>
      <c r="C30" t="s">
        <v>23</v>
      </c>
      <c r="D30" t="s">
        <v>17</v>
      </c>
      <c r="E30" t="s">
        <v>18</v>
      </c>
      <c r="F30" s="2">
        <v>79</v>
      </c>
      <c r="G30" s="4">
        <v>581</v>
      </c>
      <c r="H30" s="4">
        <v>65798</v>
      </c>
      <c r="I30" t="s">
        <v>24</v>
      </c>
      <c r="J30" s="4">
        <v>535</v>
      </c>
      <c r="K30" s="4">
        <v>60</v>
      </c>
      <c r="L30" s="6">
        <v>0.112</v>
      </c>
      <c r="M30">
        <v>441</v>
      </c>
      <c r="N30">
        <v>94</v>
      </c>
      <c r="O30">
        <v>43</v>
      </c>
      <c r="P30">
        <v>17</v>
      </c>
      <c r="Q30" s="2">
        <v>85.876</v>
      </c>
      <c r="R30" s="2">
        <v>36.161</v>
      </c>
      <c r="S30" t="s">
        <v>25</v>
      </c>
    </row>
    <row r="31" spans="1:19" ht="12.75">
      <c r="A31">
        <v>91</v>
      </c>
      <c r="B31">
        <v>1</v>
      </c>
      <c r="C31" t="s">
        <v>226</v>
      </c>
      <c r="D31" t="str">
        <f>HYPERLINK("http://www.ensembl.org/Cavia_porcellus/protview?peptide=ENSCPOP00000007420","P00000007420")</f>
        <v>P00000007420</v>
      </c>
      <c r="F31" s="2">
        <v>68.9</v>
      </c>
      <c r="G31" s="4">
        <v>396</v>
      </c>
      <c r="H31" s="4">
        <v>45230</v>
      </c>
      <c r="I31" t="s">
        <v>227</v>
      </c>
      <c r="J31" s="4">
        <v>479</v>
      </c>
      <c r="K31" s="4">
        <v>479</v>
      </c>
      <c r="L31" s="6">
        <v>1</v>
      </c>
      <c r="M31">
        <v>262</v>
      </c>
      <c r="N31">
        <v>217</v>
      </c>
      <c r="O31">
        <v>262</v>
      </c>
      <c r="P31">
        <v>217</v>
      </c>
      <c r="Q31" s="2">
        <v>262</v>
      </c>
      <c r="R31" s="2">
        <v>217</v>
      </c>
      <c r="S31" t="s">
        <v>17</v>
      </c>
    </row>
    <row r="32" spans="1:19" ht="12.75">
      <c r="A32">
        <v>19</v>
      </c>
      <c r="B32">
        <v>1</v>
      </c>
      <c r="C32" t="s">
        <v>66</v>
      </c>
      <c r="D32" t="str">
        <f>HYPERLINK("http://www.ensembl.org/Cavia_porcellus/protview?peptide=ENSCPOP00000001034","P00000001034")</f>
        <v>P00000001034</v>
      </c>
      <c r="F32" s="2">
        <v>75</v>
      </c>
      <c r="G32" s="4">
        <v>260</v>
      </c>
      <c r="H32" s="4">
        <v>29359</v>
      </c>
      <c r="I32" t="s">
        <v>67</v>
      </c>
      <c r="J32" s="4">
        <v>446</v>
      </c>
      <c r="K32" s="4">
        <v>446</v>
      </c>
      <c r="L32" s="6">
        <v>1</v>
      </c>
      <c r="M32">
        <v>198</v>
      </c>
      <c r="N32">
        <v>248</v>
      </c>
      <c r="O32">
        <v>198</v>
      </c>
      <c r="P32">
        <v>248</v>
      </c>
      <c r="Q32" s="2">
        <v>198</v>
      </c>
      <c r="R32" s="2">
        <v>248</v>
      </c>
      <c r="S32" t="s">
        <v>17</v>
      </c>
    </row>
    <row r="33" spans="1:19" ht="12.75">
      <c r="A33">
        <v>190</v>
      </c>
      <c r="B33">
        <v>1</v>
      </c>
      <c r="C33" t="s">
        <v>450</v>
      </c>
      <c r="D33" t="str">
        <f>HYPERLINK("http://www.ensembl.org/Cavia_porcellus/protview?peptide=ENSCPOP00000019052","P00000019052")</f>
        <v>P00000019052</v>
      </c>
      <c r="F33" s="2">
        <v>81</v>
      </c>
      <c r="G33" s="4">
        <v>200</v>
      </c>
      <c r="H33" s="4">
        <v>22285</v>
      </c>
      <c r="I33" t="s">
        <v>451</v>
      </c>
      <c r="J33" s="4">
        <v>420</v>
      </c>
      <c r="K33" s="4">
        <v>420</v>
      </c>
      <c r="L33" s="6">
        <v>1</v>
      </c>
      <c r="M33">
        <v>213</v>
      </c>
      <c r="N33">
        <v>207</v>
      </c>
      <c r="O33">
        <v>213</v>
      </c>
      <c r="P33">
        <v>207</v>
      </c>
      <c r="Q33" s="2">
        <v>213</v>
      </c>
      <c r="R33" s="2">
        <v>207</v>
      </c>
      <c r="S33" t="s">
        <v>17</v>
      </c>
    </row>
    <row r="34" spans="1:19" ht="12.75">
      <c r="A34">
        <v>22</v>
      </c>
      <c r="B34">
        <v>1</v>
      </c>
      <c r="C34" t="s">
        <v>72</v>
      </c>
      <c r="D34" t="str">
        <f>HYPERLINK("http://www.ensembl.org/Cavia_porcellus/protview?peptide=ENSCPOP00000001164","P00000001164")</f>
        <v>P00000001164</v>
      </c>
      <c r="F34" s="2">
        <v>57.9</v>
      </c>
      <c r="G34" s="4">
        <v>316</v>
      </c>
      <c r="H34" s="4">
        <v>35707</v>
      </c>
      <c r="I34" t="s">
        <v>73</v>
      </c>
      <c r="J34" s="4">
        <v>407</v>
      </c>
      <c r="K34" s="4">
        <v>407</v>
      </c>
      <c r="L34" s="6">
        <v>1</v>
      </c>
      <c r="M34">
        <v>189</v>
      </c>
      <c r="N34">
        <v>218</v>
      </c>
      <c r="O34">
        <v>189</v>
      </c>
      <c r="P34">
        <v>218</v>
      </c>
      <c r="Q34" s="2">
        <v>189</v>
      </c>
      <c r="R34" s="2">
        <v>218</v>
      </c>
      <c r="S34" t="s">
        <v>17</v>
      </c>
    </row>
    <row r="35" spans="1:19" ht="12.75">
      <c r="A35">
        <v>146</v>
      </c>
      <c r="B35">
        <v>1</v>
      </c>
      <c r="C35" t="s">
        <v>349</v>
      </c>
      <c r="D35" t="str">
        <f>HYPERLINK("http://www.ensembl.org/Cavia_porcellus/protview?peptide=ENSCPOP00000012591","P00000012591")</f>
        <v>P00000012591</v>
      </c>
      <c r="F35" s="2">
        <v>59</v>
      </c>
      <c r="G35" s="4">
        <v>478</v>
      </c>
      <c r="H35" s="4">
        <v>51872</v>
      </c>
      <c r="I35" t="s">
        <v>350</v>
      </c>
      <c r="J35" s="4">
        <v>324</v>
      </c>
      <c r="K35" s="4">
        <v>7</v>
      </c>
      <c r="L35" s="6">
        <v>0.022</v>
      </c>
      <c r="M35">
        <v>195</v>
      </c>
      <c r="N35">
        <v>129</v>
      </c>
      <c r="O35">
        <v>5</v>
      </c>
      <c r="P35">
        <v>2</v>
      </c>
      <c r="Q35" s="2">
        <v>13.861</v>
      </c>
      <c r="R35" s="2">
        <v>4.986</v>
      </c>
      <c r="S35" t="s">
        <v>351</v>
      </c>
    </row>
    <row r="36" spans="1:19" ht="12.75">
      <c r="A36">
        <v>181</v>
      </c>
      <c r="B36">
        <v>1</v>
      </c>
      <c r="C36" t="s">
        <v>429</v>
      </c>
      <c r="D36" t="str">
        <f>HYPERLINK("http://www.ensembl.org/Cavia_porcellus/protview?peptide=ENSCPOP00000017636","P00000017636")</f>
        <v>P00000017636</v>
      </c>
      <c r="F36" s="2">
        <v>80.5</v>
      </c>
      <c r="G36" s="4">
        <v>365</v>
      </c>
      <c r="H36" s="4">
        <v>39585</v>
      </c>
      <c r="I36" t="s">
        <v>430</v>
      </c>
      <c r="J36" s="4">
        <v>323</v>
      </c>
      <c r="K36" s="4">
        <v>264</v>
      </c>
      <c r="L36" s="6">
        <v>0.817</v>
      </c>
      <c r="M36">
        <v>155</v>
      </c>
      <c r="N36">
        <v>168</v>
      </c>
      <c r="O36">
        <v>127</v>
      </c>
      <c r="P36">
        <v>137</v>
      </c>
      <c r="Q36" s="2">
        <v>150.55</v>
      </c>
      <c r="R36" s="2">
        <v>161.269</v>
      </c>
      <c r="S36" t="s">
        <v>211</v>
      </c>
    </row>
    <row r="37" spans="1:19" ht="12.75">
      <c r="A37">
        <v>126</v>
      </c>
      <c r="B37">
        <v>1</v>
      </c>
      <c r="C37" t="s">
        <v>304</v>
      </c>
      <c r="D37" t="str">
        <f>HYPERLINK("http://www.ensembl.org/Cavia_porcellus/protview?peptide=ENSCPOP00000010883","P00000010883")</f>
        <v>P00000010883</v>
      </c>
      <c r="F37" s="2">
        <v>65.9</v>
      </c>
      <c r="G37" s="4">
        <v>375</v>
      </c>
      <c r="H37" s="4">
        <v>41794</v>
      </c>
      <c r="I37" t="s">
        <v>305</v>
      </c>
      <c r="J37" s="4">
        <v>298</v>
      </c>
      <c r="K37" s="4">
        <v>111</v>
      </c>
      <c r="L37" s="6">
        <v>0.372</v>
      </c>
      <c r="M37">
        <v>155</v>
      </c>
      <c r="N37">
        <v>143</v>
      </c>
      <c r="O37">
        <v>60</v>
      </c>
      <c r="P37">
        <v>51</v>
      </c>
      <c r="Q37" s="2">
        <v>132.722</v>
      </c>
      <c r="R37" s="2">
        <v>124.374</v>
      </c>
      <c r="S37" t="s">
        <v>261</v>
      </c>
    </row>
    <row r="38" spans="1:19" ht="12.75">
      <c r="A38">
        <v>126.01</v>
      </c>
      <c r="B38">
        <v>1</v>
      </c>
      <c r="C38" t="s">
        <v>306</v>
      </c>
      <c r="D38" t="str">
        <f>HYPERLINK("http://www.ensembl.org/Cavia_porcellus/protview?peptide=ENSCPOP00000012125","P00000012125")</f>
        <v>P00000012125</v>
      </c>
      <c r="E38" t="s">
        <v>34</v>
      </c>
      <c r="F38" s="2">
        <v>65.9</v>
      </c>
      <c r="G38" s="4">
        <v>375</v>
      </c>
      <c r="H38" s="4">
        <v>41738</v>
      </c>
      <c r="I38" t="s">
        <v>307</v>
      </c>
      <c r="J38" s="4">
        <v>298</v>
      </c>
      <c r="K38" s="4">
        <v>111</v>
      </c>
      <c r="L38" s="6">
        <v>0.372</v>
      </c>
      <c r="M38">
        <v>155</v>
      </c>
      <c r="N38">
        <v>143</v>
      </c>
      <c r="O38">
        <v>60</v>
      </c>
      <c r="P38">
        <v>51</v>
      </c>
      <c r="Q38" s="2">
        <v>132.722</v>
      </c>
      <c r="R38" s="2">
        <v>124.374</v>
      </c>
      <c r="S38" t="s">
        <v>261</v>
      </c>
    </row>
    <row r="39" spans="1:19" ht="12.75">
      <c r="A39">
        <v>123</v>
      </c>
      <c r="B39">
        <v>1</v>
      </c>
      <c r="C39" t="s">
        <v>296</v>
      </c>
      <c r="D39" t="str">
        <f>HYPERLINK("http://www.ensembl.org/Cavia_porcellus/protview?peptide=ENSCPOP00000010729","P00000010729")</f>
        <v>P00000010729</v>
      </c>
      <c r="F39" s="2">
        <v>74.6</v>
      </c>
      <c r="G39" s="4">
        <v>338</v>
      </c>
      <c r="H39" s="4">
        <v>37147</v>
      </c>
      <c r="I39" t="s">
        <v>297</v>
      </c>
      <c r="J39" s="4">
        <v>254</v>
      </c>
      <c r="K39" s="4">
        <v>234</v>
      </c>
      <c r="L39" s="6">
        <v>0.921</v>
      </c>
      <c r="M39">
        <v>126</v>
      </c>
      <c r="N39">
        <v>128</v>
      </c>
      <c r="O39">
        <v>117</v>
      </c>
      <c r="P39">
        <v>117</v>
      </c>
      <c r="Q39" s="2">
        <v>123.623</v>
      </c>
      <c r="R39" s="2">
        <v>125.357</v>
      </c>
      <c r="S39" t="s">
        <v>206</v>
      </c>
    </row>
    <row r="40" spans="1:19" ht="12.75">
      <c r="A40">
        <v>139</v>
      </c>
      <c r="B40">
        <v>1</v>
      </c>
      <c r="C40" t="s">
        <v>335</v>
      </c>
      <c r="D40" t="str">
        <f>HYPERLINK("http://www.ensembl.org/Cavia_porcellus/protview?peptide=ENSCPOP00000011828","P00000011828")</f>
        <v>P00000011828</v>
      </c>
      <c r="F40" s="2">
        <v>35.9</v>
      </c>
      <c r="G40" s="4">
        <v>434</v>
      </c>
      <c r="H40" s="4">
        <v>46958</v>
      </c>
      <c r="I40" t="s">
        <v>336</v>
      </c>
      <c r="J40" s="4">
        <v>220</v>
      </c>
      <c r="K40" s="4">
        <v>3</v>
      </c>
      <c r="L40" s="6">
        <v>0.014</v>
      </c>
      <c r="M40">
        <v>111</v>
      </c>
      <c r="N40">
        <v>109</v>
      </c>
      <c r="O40">
        <v>1</v>
      </c>
      <c r="P40">
        <v>2</v>
      </c>
      <c r="Q40" s="2">
        <v>1.459</v>
      </c>
      <c r="R40" s="2">
        <v>3.14</v>
      </c>
      <c r="S40" t="s">
        <v>170</v>
      </c>
    </row>
    <row r="41" spans="1:19" ht="12.75">
      <c r="A41">
        <v>96</v>
      </c>
      <c r="B41">
        <v>1</v>
      </c>
      <c r="C41" t="s">
        <v>236</v>
      </c>
      <c r="D41" t="str">
        <f>HYPERLINK("http://www.ensembl.org/Cavia_porcellus/protview?peptide=ENSCPOP00000007974","P00000007974")</f>
        <v>P00000007974</v>
      </c>
      <c r="F41" s="2">
        <v>57.6</v>
      </c>
      <c r="G41" s="4">
        <v>434</v>
      </c>
      <c r="H41" s="4">
        <v>47155</v>
      </c>
      <c r="I41" t="s">
        <v>237</v>
      </c>
      <c r="J41" s="4">
        <v>218</v>
      </c>
      <c r="K41" s="4">
        <v>57</v>
      </c>
      <c r="L41" s="6">
        <v>0.261</v>
      </c>
      <c r="M41">
        <v>127</v>
      </c>
      <c r="N41">
        <v>91</v>
      </c>
      <c r="O41">
        <v>42</v>
      </c>
      <c r="P41">
        <v>15</v>
      </c>
      <c r="Q41" s="2">
        <v>56.972</v>
      </c>
      <c r="R41" s="2">
        <v>21.718</v>
      </c>
      <c r="S41" t="s">
        <v>170</v>
      </c>
    </row>
    <row r="42" spans="1:19" ht="12.75">
      <c r="A42">
        <v>129</v>
      </c>
      <c r="B42">
        <v>1</v>
      </c>
      <c r="C42" t="s">
        <v>312</v>
      </c>
      <c r="D42" t="str">
        <f>HYPERLINK("http://www.ensembl.org/Cavia_porcellus/protview?peptide=ENSCPOP00000011106","P00000011106")</f>
        <v>P00000011106</v>
      </c>
      <c r="F42" s="2">
        <v>80</v>
      </c>
      <c r="G42" s="4">
        <v>285</v>
      </c>
      <c r="H42" s="4">
        <v>30457</v>
      </c>
      <c r="I42" t="s">
        <v>313</v>
      </c>
      <c r="J42" s="4">
        <v>217</v>
      </c>
      <c r="K42" s="4">
        <v>217</v>
      </c>
      <c r="L42" s="6">
        <v>1</v>
      </c>
      <c r="M42">
        <v>90</v>
      </c>
      <c r="N42">
        <v>127</v>
      </c>
      <c r="O42">
        <v>90</v>
      </c>
      <c r="P42">
        <v>127</v>
      </c>
      <c r="Q42" s="2">
        <v>90</v>
      </c>
      <c r="R42" s="2">
        <v>127</v>
      </c>
      <c r="S42" t="s">
        <v>17</v>
      </c>
    </row>
    <row r="43" spans="1:19" ht="12.75">
      <c r="A43">
        <v>182</v>
      </c>
      <c r="B43">
        <v>1</v>
      </c>
      <c r="C43" t="s">
        <v>431</v>
      </c>
      <c r="D43" t="str">
        <f>HYPERLINK("http://www.ensembl.org/Cavia_porcellus/protview?peptide=ENSCPOP00000017692","P00000017692")</f>
        <v>P00000017692</v>
      </c>
      <c r="F43" s="2">
        <v>66.7</v>
      </c>
      <c r="G43" s="4">
        <v>333</v>
      </c>
      <c r="H43" s="4">
        <v>35826</v>
      </c>
      <c r="I43" t="s">
        <v>432</v>
      </c>
      <c r="J43" s="4">
        <v>217</v>
      </c>
      <c r="K43" s="4">
        <v>58</v>
      </c>
      <c r="L43" s="6">
        <v>0.267</v>
      </c>
      <c r="M43">
        <v>87</v>
      </c>
      <c r="N43">
        <v>130</v>
      </c>
      <c r="O43">
        <v>26</v>
      </c>
      <c r="P43">
        <v>32</v>
      </c>
      <c r="Q43" s="2">
        <v>84.103</v>
      </c>
      <c r="R43" s="2">
        <v>124.204</v>
      </c>
      <c r="S43" t="s">
        <v>433</v>
      </c>
    </row>
    <row r="44" spans="1:19" ht="12.75">
      <c r="A44">
        <v>182.01</v>
      </c>
      <c r="B44">
        <v>1</v>
      </c>
      <c r="C44" t="s">
        <v>434</v>
      </c>
      <c r="D44" t="str">
        <f>HYPERLINK("http://www.ensembl.org/Cavia_porcellus/protview?peptide=ENSCPOP00000018099","P00000018099")</f>
        <v>P00000018099</v>
      </c>
      <c r="E44" t="s">
        <v>34</v>
      </c>
      <c r="F44" s="2">
        <v>66.7</v>
      </c>
      <c r="G44" s="4">
        <v>333</v>
      </c>
      <c r="H44" s="4">
        <v>35885</v>
      </c>
      <c r="I44" t="s">
        <v>435</v>
      </c>
      <c r="J44" s="4">
        <v>217</v>
      </c>
      <c r="K44" s="4">
        <v>58</v>
      </c>
      <c r="L44" s="6">
        <v>0.267</v>
      </c>
      <c r="M44">
        <v>87</v>
      </c>
      <c r="N44">
        <v>130</v>
      </c>
      <c r="O44">
        <v>26</v>
      </c>
      <c r="P44">
        <v>32</v>
      </c>
      <c r="Q44" s="2">
        <v>84.103</v>
      </c>
      <c r="R44" s="2">
        <v>124.204</v>
      </c>
      <c r="S44" t="s">
        <v>433</v>
      </c>
    </row>
    <row r="45" spans="1:19" ht="12.75">
      <c r="A45">
        <v>183</v>
      </c>
      <c r="B45">
        <v>1</v>
      </c>
      <c r="C45" t="s">
        <v>436</v>
      </c>
      <c r="D45" t="str">
        <f>HYPERLINK("http://www.ensembl.org/Cavia_porcellus/protview?peptide=ENSCPOP00000018145","P00000018145")</f>
        <v>P00000018145</v>
      </c>
      <c r="F45" s="2">
        <v>33.7</v>
      </c>
      <c r="G45" s="4">
        <v>501</v>
      </c>
      <c r="H45" s="4">
        <v>54461</v>
      </c>
      <c r="I45" t="s">
        <v>437</v>
      </c>
      <c r="J45" s="4">
        <v>197</v>
      </c>
      <c r="K45" s="4">
        <v>1</v>
      </c>
      <c r="L45" s="6">
        <v>0.005</v>
      </c>
      <c r="M45">
        <v>120</v>
      </c>
      <c r="N45">
        <v>77</v>
      </c>
      <c r="O45">
        <v>0</v>
      </c>
      <c r="P45">
        <v>1</v>
      </c>
      <c r="Q45" s="2">
        <v>0</v>
      </c>
      <c r="R45" s="2">
        <v>2.021</v>
      </c>
      <c r="S45" t="s">
        <v>351</v>
      </c>
    </row>
    <row r="46" spans="1:19" ht="12.75">
      <c r="A46">
        <v>176</v>
      </c>
      <c r="B46">
        <v>1</v>
      </c>
      <c r="C46" t="s">
        <v>417</v>
      </c>
      <c r="D46" t="str">
        <f>HYPERLINK("http://www.ensembl.org/Cavia_porcellus/protview?peptide=ENSCPOP00000017093","P00000017093")</f>
        <v>P00000017093</v>
      </c>
      <c r="F46" s="2">
        <v>70.2</v>
      </c>
      <c r="G46" s="4">
        <v>161</v>
      </c>
      <c r="H46" s="4">
        <v>18285</v>
      </c>
      <c r="I46" t="s">
        <v>418</v>
      </c>
      <c r="J46" s="4">
        <v>185</v>
      </c>
      <c r="K46" s="4">
        <v>94</v>
      </c>
      <c r="L46" s="6">
        <v>0.508</v>
      </c>
      <c r="M46">
        <v>99</v>
      </c>
      <c r="N46">
        <v>86</v>
      </c>
      <c r="O46">
        <v>49</v>
      </c>
      <c r="P46">
        <v>45</v>
      </c>
      <c r="Q46" s="2">
        <v>85.029</v>
      </c>
      <c r="R46" s="2">
        <v>73.828</v>
      </c>
      <c r="S46" t="s">
        <v>419</v>
      </c>
    </row>
    <row r="47" spans="1:19" ht="12.75">
      <c r="A47">
        <v>106</v>
      </c>
      <c r="B47">
        <v>1</v>
      </c>
      <c r="C47" t="s">
        <v>259</v>
      </c>
      <c r="D47" t="str">
        <f>HYPERLINK("http://www.ensembl.org/Cavia_porcellus/protview?peptide=ENSCPOP00000009329","P00000009329")</f>
        <v>P00000009329</v>
      </c>
      <c r="F47" s="2">
        <v>46.4</v>
      </c>
      <c r="G47" s="4">
        <v>377</v>
      </c>
      <c r="H47" s="4">
        <v>42052</v>
      </c>
      <c r="I47" t="s">
        <v>260</v>
      </c>
      <c r="J47" s="4">
        <v>172</v>
      </c>
      <c r="K47" s="4">
        <v>27</v>
      </c>
      <c r="L47" s="6">
        <v>0.157</v>
      </c>
      <c r="M47">
        <v>87</v>
      </c>
      <c r="N47">
        <v>85</v>
      </c>
      <c r="O47">
        <v>15</v>
      </c>
      <c r="P47">
        <v>12</v>
      </c>
      <c r="Q47" s="2">
        <v>28.455</v>
      </c>
      <c r="R47" s="2">
        <v>25.333</v>
      </c>
      <c r="S47" t="s">
        <v>261</v>
      </c>
    </row>
    <row r="48" spans="1:19" ht="12.75">
      <c r="A48">
        <v>36</v>
      </c>
      <c r="B48">
        <v>1</v>
      </c>
      <c r="C48" t="s">
        <v>103</v>
      </c>
      <c r="D48" t="str">
        <f>HYPERLINK("http://www.ensembl.org/Cavia_porcellus/protview?peptide=ENSCPOP00000002427","P00000002427")</f>
        <v>P00000002427</v>
      </c>
      <c r="F48" s="2">
        <v>34.2</v>
      </c>
      <c r="G48" s="4">
        <v>2645</v>
      </c>
      <c r="H48" s="4">
        <v>280752</v>
      </c>
      <c r="I48" t="s">
        <v>104</v>
      </c>
      <c r="J48" s="4">
        <v>171</v>
      </c>
      <c r="K48" s="4">
        <v>167</v>
      </c>
      <c r="L48" s="6">
        <v>0.977</v>
      </c>
      <c r="M48">
        <v>117</v>
      </c>
      <c r="N48">
        <v>54</v>
      </c>
      <c r="O48">
        <v>115</v>
      </c>
      <c r="P48">
        <v>52</v>
      </c>
      <c r="Q48" s="2">
        <v>116.917</v>
      </c>
      <c r="R48" s="2">
        <v>53.962</v>
      </c>
      <c r="S48" t="s">
        <v>105</v>
      </c>
    </row>
    <row r="49" spans="1:19" ht="12.75">
      <c r="A49">
        <v>152</v>
      </c>
      <c r="B49">
        <v>1</v>
      </c>
      <c r="C49" t="s">
        <v>363</v>
      </c>
      <c r="D49" t="str">
        <f>HYPERLINK("http://www.ensembl.org/Cavia_porcellus/protview?peptide=ENSCPOP00000012815","P00000012815")</f>
        <v>P00000012815</v>
      </c>
      <c r="F49" s="2">
        <v>66.9</v>
      </c>
      <c r="G49" s="4">
        <v>163</v>
      </c>
      <c r="H49" s="4">
        <v>16666</v>
      </c>
      <c r="I49" t="s">
        <v>364</v>
      </c>
      <c r="J49" s="4">
        <v>171</v>
      </c>
      <c r="K49" s="4">
        <v>171</v>
      </c>
      <c r="L49" s="6">
        <v>1</v>
      </c>
      <c r="M49">
        <v>83</v>
      </c>
      <c r="N49">
        <v>88</v>
      </c>
      <c r="O49">
        <v>83</v>
      </c>
      <c r="P49">
        <v>88</v>
      </c>
      <c r="Q49" s="2">
        <v>83</v>
      </c>
      <c r="R49" s="2">
        <v>88</v>
      </c>
      <c r="S49" t="s">
        <v>17</v>
      </c>
    </row>
    <row r="50" spans="1:19" ht="12.75">
      <c r="A50">
        <v>102</v>
      </c>
      <c r="B50">
        <v>1</v>
      </c>
      <c r="C50" t="s">
        <v>249</v>
      </c>
      <c r="D50" t="str">
        <f>HYPERLINK("http://www.ensembl.org/Cavia_porcellus/protview?peptide=ENSCPOP00000008468","P00000008468")</f>
        <v>P00000008468</v>
      </c>
      <c r="F50" s="2">
        <v>29.9</v>
      </c>
      <c r="G50" s="4">
        <v>2388</v>
      </c>
      <c r="H50" s="4">
        <v>274004</v>
      </c>
      <c r="I50" t="s">
        <v>250</v>
      </c>
      <c r="J50" s="4">
        <v>152</v>
      </c>
      <c r="K50" s="4">
        <v>152</v>
      </c>
      <c r="L50" s="6">
        <v>1</v>
      </c>
      <c r="M50">
        <v>104</v>
      </c>
      <c r="N50">
        <v>48</v>
      </c>
      <c r="O50">
        <v>104</v>
      </c>
      <c r="P50">
        <v>48</v>
      </c>
      <c r="Q50" s="2">
        <v>104</v>
      </c>
      <c r="R50" s="2">
        <v>48</v>
      </c>
      <c r="S50" t="s">
        <v>17</v>
      </c>
    </row>
    <row r="51" spans="1:19" ht="12.75">
      <c r="A51">
        <v>35</v>
      </c>
      <c r="B51">
        <v>1</v>
      </c>
      <c r="C51" t="s">
        <v>101</v>
      </c>
      <c r="D51" t="str">
        <f>HYPERLINK("http://www.ensembl.org/Cavia_porcellus/protview?peptide=ENSCPOP00000002414","P00000002414")</f>
        <v>P00000002414</v>
      </c>
      <c r="F51" s="2">
        <v>72.8</v>
      </c>
      <c r="G51" s="4">
        <v>452</v>
      </c>
      <c r="H51" s="4">
        <v>49786</v>
      </c>
      <c r="I51" t="s">
        <v>102</v>
      </c>
      <c r="J51" s="4">
        <v>134</v>
      </c>
      <c r="K51" s="4">
        <v>134</v>
      </c>
      <c r="L51" s="6">
        <v>1</v>
      </c>
      <c r="M51">
        <v>78</v>
      </c>
      <c r="N51">
        <v>56</v>
      </c>
      <c r="O51">
        <v>78</v>
      </c>
      <c r="P51">
        <v>56</v>
      </c>
      <c r="Q51" s="2">
        <v>78</v>
      </c>
      <c r="R51" s="2">
        <v>56</v>
      </c>
      <c r="S51" t="s">
        <v>17</v>
      </c>
    </row>
    <row r="52" spans="1:19" ht="12.75">
      <c r="A52">
        <v>195</v>
      </c>
      <c r="B52">
        <v>1</v>
      </c>
      <c r="C52" t="s">
        <v>460</v>
      </c>
      <c r="D52" t="str">
        <f>HYPERLINK("http://www.ensembl.org/Cavia_porcellus/protview?peptide=ENSCPOP00000020165","P00000020165")</f>
        <v>P00000020165</v>
      </c>
      <c r="F52" s="2">
        <v>78.1</v>
      </c>
      <c r="G52" s="4">
        <v>151</v>
      </c>
      <c r="H52" s="4">
        <v>17085</v>
      </c>
      <c r="I52" t="s">
        <v>461</v>
      </c>
      <c r="J52" s="4">
        <v>129</v>
      </c>
      <c r="K52" s="4">
        <v>38</v>
      </c>
      <c r="L52" s="6">
        <v>0.295</v>
      </c>
      <c r="M52">
        <v>69</v>
      </c>
      <c r="N52">
        <v>60</v>
      </c>
      <c r="O52">
        <v>19</v>
      </c>
      <c r="P52">
        <v>19</v>
      </c>
      <c r="Q52" s="2">
        <v>32.971</v>
      </c>
      <c r="R52" s="2">
        <v>31.172</v>
      </c>
      <c r="S52" t="s">
        <v>419</v>
      </c>
    </row>
    <row r="53" spans="1:19" ht="12.75">
      <c r="A53">
        <v>33</v>
      </c>
      <c r="B53">
        <v>1</v>
      </c>
      <c r="C53" t="s">
        <v>97</v>
      </c>
      <c r="D53" t="str">
        <f>HYPERLINK("http://www.ensembl.org/Cavia_porcellus/protview?peptide=ENSCPOP00000002296","P00000002296")</f>
        <v>P00000002296</v>
      </c>
      <c r="F53" s="2">
        <v>66.7</v>
      </c>
      <c r="G53" s="4">
        <v>327</v>
      </c>
      <c r="H53" s="4">
        <v>36711</v>
      </c>
      <c r="I53" t="s">
        <v>98</v>
      </c>
      <c r="J53" s="4">
        <v>128</v>
      </c>
      <c r="K53" s="4">
        <v>128</v>
      </c>
      <c r="L53" s="6">
        <v>1</v>
      </c>
      <c r="M53">
        <v>75</v>
      </c>
      <c r="N53">
        <v>53</v>
      </c>
      <c r="O53">
        <v>75</v>
      </c>
      <c r="P53">
        <v>53</v>
      </c>
      <c r="Q53" s="2">
        <v>75</v>
      </c>
      <c r="R53" s="2">
        <v>53</v>
      </c>
      <c r="S53" t="s">
        <v>17</v>
      </c>
    </row>
    <row r="54" spans="1:19" ht="12.75">
      <c r="A54">
        <v>170</v>
      </c>
      <c r="B54">
        <v>1</v>
      </c>
      <c r="C54" t="s">
        <v>403</v>
      </c>
      <c r="D54" t="str">
        <f>HYPERLINK("http://www.ensembl.org/Cavia_porcellus/protview?peptide=ENSCPOP00000015949","P00000015949")</f>
        <v>P00000015949</v>
      </c>
      <c r="F54" s="2">
        <v>40.9</v>
      </c>
      <c r="G54" s="4">
        <v>450</v>
      </c>
      <c r="H54" s="4">
        <v>49957</v>
      </c>
      <c r="I54" t="s">
        <v>404</v>
      </c>
      <c r="J54" s="4">
        <v>127</v>
      </c>
      <c r="K54" s="4">
        <v>0</v>
      </c>
      <c r="L54" s="6">
        <v>0</v>
      </c>
      <c r="M54">
        <v>63</v>
      </c>
      <c r="N54">
        <v>64</v>
      </c>
      <c r="O54">
        <v>0</v>
      </c>
      <c r="P54">
        <v>0</v>
      </c>
      <c r="Q54" s="2">
        <v>9.5</v>
      </c>
      <c r="R54" s="2">
        <v>0.5</v>
      </c>
      <c r="S54" t="s">
        <v>110</v>
      </c>
    </row>
    <row r="55" spans="1:19" ht="12.75">
      <c r="A55">
        <v>170.01</v>
      </c>
      <c r="B55">
        <v>1</v>
      </c>
      <c r="C55" t="s">
        <v>405</v>
      </c>
      <c r="D55" t="str">
        <f>HYPERLINK("http://www.ensembl.org/Cavia_porcellus/protview?peptide=ENSCPOP00000015975","P00000015975")</f>
        <v>P00000015975</v>
      </c>
      <c r="E55" t="s">
        <v>34</v>
      </c>
      <c r="F55" s="2">
        <v>40.9</v>
      </c>
      <c r="G55" s="4">
        <v>450</v>
      </c>
      <c r="H55" s="4">
        <v>49957</v>
      </c>
      <c r="I55" t="s">
        <v>406</v>
      </c>
      <c r="J55" s="4">
        <v>127</v>
      </c>
      <c r="K55" s="4">
        <v>0</v>
      </c>
      <c r="L55" s="6">
        <v>0</v>
      </c>
      <c r="M55">
        <v>63</v>
      </c>
      <c r="N55">
        <v>64</v>
      </c>
      <c r="O55">
        <v>0</v>
      </c>
      <c r="P55">
        <v>0</v>
      </c>
      <c r="Q55" s="2">
        <v>9.5</v>
      </c>
      <c r="R55" s="2">
        <v>0.5</v>
      </c>
      <c r="S55" t="s">
        <v>110</v>
      </c>
    </row>
    <row r="56" spans="1:19" ht="12.75">
      <c r="A56">
        <v>113</v>
      </c>
      <c r="B56">
        <v>1</v>
      </c>
      <c r="C56" t="s">
        <v>275</v>
      </c>
      <c r="D56" t="str">
        <f>HYPERLINK("http://www.ensembl.org/Cavia_porcellus/protview?peptide=ENSCPOP00000009906","P00000009906")</f>
        <v>P00000009906</v>
      </c>
      <c r="F56" s="2">
        <v>35.1</v>
      </c>
      <c r="G56" s="4">
        <v>376</v>
      </c>
      <c r="H56" s="4">
        <v>41896</v>
      </c>
      <c r="I56" t="s">
        <v>276</v>
      </c>
      <c r="J56" s="4">
        <v>124</v>
      </c>
      <c r="K56" s="4">
        <v>20</v>
      </c>
      <c r="L56" s="6">
        <v>0.161</v>
      </c>
      <c r="M56">
        <v>68</v>
      </c>
      <c r="N56">
        <v>56</v>
      </c>
      <c r="O56">
        <v>13</v>
      </c>
      <c r="P56">
        <v>7</v>
      </c>
      <c r="Q56" s="2">
        <v>21.823</v>
      </c>
      <c r="R56" s="2">
        <v>12.293</v>
      </c>
      <c r="S56" t="s">
        <v>261</v>
      </c>
    </row>
    <row r="57" spans="1:19" ht="12.75">
      <c r="A57">
        <v>145</v>
      </c>
      <c r="B57">
        <v>1</v>
      </c>
      <c r="C57" t="s">
        <v>347</v>
      </c>
      <c r="D57" t="str">
        <f>HYPERLINK("http://www.ensembl.org/Cavia_porcellus/protview?peptide=ENSCPOP00000012385","P00000012385")</f>
        <v>P00000012385</v>
      </c>
      <c r="F57" s="2">
        <v>31.1</v>
      </c>
      <c r="G57" s="4">
        <v>370</v>
      </c>
      <c r="H57" s="4">
        <v>40510</v>
      </c>
      <c r="I57" t="s">
        <v>348</v>
      </c>
      <c r="J57" s="4">
        <v>123</v>
      </c>
      <c r="K57" s="4">
        <v>123</v>
      </c>
      <c r="L57" s="6">
        <v>1</v>
      </c>
      <c r="M57">
        <v>51</v>
      </c>
      <c r="N57">
        <v>72</v>
      </c>
      <c r="O57">
        <v>51</v>
      </c>
      <c r="P57">
        <v>72</v>
      </c>
      <c r="Q57" s="2">
        <v>51</v>
      </c>
      <c r="R57" s="2">
        <v>72</v>
      </c>
      <c r="S57" t="s">
        <v>17</v>
      </c>
    </row>
    <row r="58" spans="1:19" ht="12.75">
      <c r="A58">
        <v>136</v>
      </c>
      <c r="B58">
        <v>1</v>
      </c>
      <c r="C58" t="s">
        <v>327</v>
      </c>
      <c r="D58" t="str">
        <f>HYPERLINK("http://www.ensembl.org/Cavia_porcellus/protview?peptide=ENSCPOP00000011718","P00000011718")</f>
        <v>P00000011718</v>
      </c>
      <c r="F58" s="2">
        <v>54.7</v>
      </c>
      <c r="G58" s="4">
        <v>435</v>
      </c>
      <c r="H58" s="4">
        <v>48454</v>
      </c>
      <c r="I58" t="s">
        <v>328</v>
      </c>
      <c r="J58" s="4">
        <v>121</v>
      </c>
      <c r="K58" s="4">
        <v>22</v>
      </c>
      <c r="L58" s="6">
        <v>0.182</v>
      </c>
      <c r="M58">
        <v>57</v>
      </c>
      <c r="N58">
        <v>64</v>
      </c>
      <c r="O58">
        <v>10</v>
      </c>
      <c r="P58">
        <v>12</v>
      </c>
      <c r="Q58" s="2">
        <v>57</v>
      </c>
      <c r="R58" s="2">
        <v>63.077</v>
      </c>
      <c r="S58" t="s">
        <v>110</v>
      </c>
    </row>
    <row r="59" spans="1:19" ht="12.75">
      <c r="A59">
        <v>136.01</v>
      </c>
      <c r="B59">
        <v>1</v>
      </c>
      <c r="C59" t="s">
        <v>329</v>
      </c>
      <c r="D59" t="str">
        <f>HYPERLINK("http://www.ensembl.org/Cavia_porcellus/protview?peptide=ENSCPOP00000019744","P00000019744")</f>
        <v>P00000019744</v>
      </c>
      <c r="E59" t="s">
        <v>34</v>
      </c>
      <c r="F59" s="2">
        <v>52.8</v>
      </c>
      <c r="G59" s="4">
        <v>451</v>
      </c>
      <c r="H59" s="4">
        <v>50150</v>
      </c>
      <c r="I59" t="s">
        <v>330</v>
      </c>
      <c r="J59" s="4">
        <v>121</v>
      </c>
      <c r="K59" s="4">
        <v>22</v>
      </c>
      <c r="L59" s="6">
        <v>0.182</v>
      </c>
      <c r="M59">
        <v>57</v>
      </c>
      <c r="N59">
        <v>64</v>
      </c>
      <c r="O59">
        <v>10</v>
      </c>
      <c r="P59">
        <v>12</v>
      </c>
      <c r="Q59" s="2">
        <v>57</v>
      </c>
      <c r="R59" s="2">
        <v>63.077</v>
      </c>
      <c r="S59" t="s">
        <v>110</v>
      </c>
    </row>
    <row r="60" spans="1:19" ht="12.75">
      <c r="A60">
        <v>84</v>
      </c>
      <c r="B60">
        <v>1</v>
      </c>
      <c r="C60" t="s">
        <v>209</v>
      </c>
      <c r="D60" t="str">
        <f>HYPERLINK("http://www.ensembl.org/Cavia_porcellus/protview?peptide=ENSCPOP00000006706","P00000006706")</f>
        <v>P00000006706</v>
      </c>
      <c r="F60" s="2">
        <v>58.2</v>
      </c>
      <c r="G60" s="4">
        <v>364</v>
      </c>
      <c r="H60" s="4">
        <v>39408</v>
      </c>
      <c r="I60" t="s">
        <v>210</v>
      </c>
      <c r="J60" s="4">
        <v>121</v>
      </c>
      <c r="K60" s="4">
        <v>62</v>
      </c>
      <c r="L60" s="6">
        <v>0.512</v>
      </c>
      <c r="M60">
        <v>52</v>
      </c>
      <c r="N60">
        <v>69</v>
      </c>
      <c r="O60">
        <v>24</v>
      </c>
      <c r="P60">
        <v>38</v>
      </c>
      <c r="Q60" s="2">
        <v>28.45</v>
      </c>
      <c r="R60" s="2">
        <v>44.731</v>
      </c>
      <c r="S60" t="s">
        <v>211</v>
      </c>
    </row>
    <row r="61" spans="1:19" ht="12.75">
      <c r="A61">
        <v>97</v>
      </c>
      <c r="B61">
        <v>1</v>
      </c>
      <c r="C61" t="s">
        <v>238</v>
      </c>
      <c r="D61" t="str">
        <f>HYPERLINK("http://www.ensembl.org/Cavia_porcellus/protview?peptide=ENSCPOP00000008101","P00000008101")</f>
        <v>P00000008101</v>
      </c>
      <c r="F61" s="2">
        <v>56.7</v>
      </c>
      <c r="G61" s="4">
        <v>531</v>
      </c>
      <c r="H61" s="4">
        <v>57712</v>
      </c>
      <c r="I61" t="s">
        <v>239</v>
      </c>
      <c r="J61" s="4">
        <v>117</v>
      </c>
      <c r="K61" s="4">
        <v>117</v>
      </c>
      <c r="L61" s="6">
        <v>1</v>
      </c>
      <c r="M61">
        <v>68</v>
      </c>
      <c r="N61">
        <v>49</v>
      </c>
      <c r="O61">
        <v>68</v>
      </c>
      <c r="P61">
        <v>49</v>
      </c>
      <c r="Q61" s="2">
        <v>68</v>
      </c>
      <c r="R61" s="2">
        <v>49</v>
      </c>
      <c r="S61" t="s">
        <v>17</v>
      </c>
    </row>
    <row r="62" spans="1:19" ht="12.75">
      <c r="A62">
        <v>79</v>
      </c>
      <c r="B62">
        <v>1</v>
      </c>
      <c r="C62" t="s">
        <v>198</v>
      </c>
      <c r="D62" t="str">
        <f>HYPERLINK("http://www.ensembl.org/Cavia_porcellus/protview?peptide=ENSCPOP00000006176","P00000006176")</f>
        <v>P00000006176</v>
      </c>
      <c r="F62" s="2">
        <v>61.4</v>
      </c>
      <c r="G62" s="4">
        <v>189</v>
      </c>
      <c r="H62" s="4">
        <v>20038</v>
      </c>
      <c r="I62" t="s">
        <v>199</v>
      </c>
      <c r="J62" s="4">
        <v>116</v>
      </c>
      <c r="K62" s="4">
        <v>116</v>
      </c>
      <c r="L62" s="6">
        <v>1</v>
      </c>
      <c r="M62">
        <v>59</v>
      </c>
      <c r="N62">
        <v>57</v>
      </c>
      <c r="O62">
        <v>59</v>
      </c>
      <c r="P62">
        <v>57</v>
      </c>
      <c r="Q62" s="2">
        <v>59</v>
      </c>
      <c r="R62" s="2">
        <v>57</v>
      </c>
      <c r="S62" t="s">
        <v>17</v>
      </c>
    </row>
    <row r="63" spans="1:19" ht="12.75">
      <c r="A63">
        <v>169</v>
      </c>
      <c r="B63">
        <v>1</v>
      </c>
      <c r="C63" t="s">
        <v>401</v>
      </c>
      <c r="D63" t="str">
        <f>HYPERLINK("http://www.ensembl.org/Cavia_porcellus/protview?peptide=ENSCPOP00000015876","P00000015876")</f>
        <v>P00000015876</v>
      </c>
      <c r="F63" s="2">
        <v>58.9</v>
      </c>
      <c r="G63" s="4">
        <v>418</v>
      </c>
      <c r="H63" s="4">
        <v>44718</v>
      </c>
      <c r="I63" t="s">
        <v>402</v>
      </c>
      <c r="J63" s="4">
        <v>114</v>
      </c>
      <c r="K63" s="4">
        <v>56</v>
      </c>
      <c r="L63" s="6">
        <v>0.491</v>
      </c>
      <c r="M63">
        <v>53</v>
      </c>
      <c r="N63">
        <v>61</v>
      </c>
      <c r="O63">
        <v>24</v>
      </c>
      <c r="P63">
        <v>32</v>
      </c>
      <c r="Q63" s="2">
        <v>51.84</v>
      </c>
      <c r="R63" s="2">
        <v>60.121</v>
      </c>
      <c r="S63" t="s">
        <v>266</v>
      </c>
    </row>
    <row r="64" spans="1:19" ht="12.75">
      <c r="A64">
        <v>82</v>
      </c>
      <c r="B64">
        <v>1</v>
      </c>
      <c r="C64" t="s">
        <v>204</v>
      </c>
      <c r="D64" t="str">
        <f>HYPERLINK("http://www.ensembl.org/Cavia_porcellus/protview?peptide=ENSCPOP00000006437","P00000006437")</f>
        <v>P00000006437</v>
      </c>
      <c r="F64" s="2">
        <v>45.2</v>
      </c>
      <c r="G64" s="4">
        <v>334</v>
      </c>
      <c r="H64" s="4">
        <v>36555</v>
      </c>
      <c r="I64" t="s">
        <v>205</v>
      </c>
      <c r="J64" s="4">
        <v>99</v>
      </c>
      <c r="K64" s="4">
        <v>79</v>
      </c>
      <c r="L64" s="6">
        <v>0.798</v>
      </c>
      <c r="M64">
        <v>51</v>
      </c>
      <c r="N64">
        <v>48</v>
      </c>
      <c r="O64">
        <v>42</v>
      </c>
      <c r="P64">
        <v>37</v>
      </c>
      <c r="Q64" s="2">
        <v>44.377</v>
      </c>
      <c r="R64" s="2">
        <v>39.643</v>
      </c>
      <c r="S64" t="s">
        <v>206</v>
      </c>
    </row>
    <row r="65" spans="1:19" ht="12.75">
      <c r="A65">
        <v>140</v>
      </c>
      <c r="B65">
        <v>1</v>
      </c>
      <c r="C65" t="s">
        <v>337</v>
      </c>
      <c r="D65" t="str">
        <f>HYPERLINK("http://www.ensembl.org/Cavia_porcellus/protview?peptide=ENSCPOP00000012110","P00000012110")</f>
        <v>P00000012110</v>
      </c>
      <c r="F65" s="2">
        <v>48.1</v>
      </c>
      <c r="G65" s="4">
        <v>445</v>
      </c>
      <c r="H65" s="4">
        <v>50474</v>
      </c>
      <c r="I65" t="s">
        <v>338</v>
      </c>
      <c r="J65" s="4">
        <v>92</v>
      </c>
      <c r="K65" s="4">
        <v>54</v>
      </c>
      <c r="L65" s="6">
        <v>0.587</v>
      </c>
      <c r="M65">
        <v>47</v>
      </c>
      <c r="N65">
        <v>45</v>
      </c>
      <c r="O65">
        <v>28</v>
      </c>
      <c r="P65">
        <v>26</v>
      </c>
      <c r="Q65" s="2">
        <v>43.647</v>
      </c>
      <c r="R65" s="2">
        <v>41.438</v>
      </c>
      <c r="S65" t="s">
        <v>173</v>
      </c>
    </row>
    <row r="66" spans="1:19" ht="12.75">
      <c r="A66">
        <v>185</v>
      </c>
      <c r="B66">
        <v>1</v>
      </c>
      <c r="C66" t="s">
        <v>440</v>
      </c>
      <c r="D66" t="str">
        <f>HYPERLINK("http://www.ensembl.org/Cavia_porcellus/protview?peptide=ENSCPOP00000018442","P00000018442")</f>
        <v>P00000018442</v>
      </c>
      <c r="F66" s="2">
        <v>69.4</v>
      </c>
      <c r="G66" s="4">
        <v>144</v>
      </c>
      <c r="H66" s="4">
        <v>15970</v>
      </c>
      <c r="I66" t="s">
        <v>441</v>
      </c>
      <c r="J66" s="4">
        <v>91</v>
      </c>
      <c r="K66" s="4">
        <v>91</v>
      </c>
      <c r="L66" s="6">
        <v>1</v>
      </c>
      <c r="M66">
        <v>27</v>
      </c>
      <c r="N66">
        <v>64</v>
      </c>
      <c r="O66">
        <v>27</v>
      </c>
      <c r="P66">
        <v>64</v>
      </c>
      <c r="Q66" s="2">
        <v>27</v>
      </c>
      <c r="R66" s="2">
        <v>64</v>
      </c>
      <c r="S66" t="s">
        <v>17</v>
      </c>
    </row>
    <row r="67" spans="1:19" ht="12.75">
      <c r="A67">
        <v>192</v>
      </c>
      <c r="B67">
        <v>1</v>
      </c>
      <c r="C67" t="s">
        <v>454</v>
      </c>
      <c r="D67" t="str">
        <f>HYPERLINK("http://www.ensembl.org/Cavia_porcellus/protview?peptide=ENSCPOP00000019416","P00000019416")</f>
        <v>P00000019416</v>
      </c>
      <c r="F67" s="2">
        <v>41.3</v>
      </c>
      <c r="G67" s="4">
        <v>569</v>
      </c>
      <c r="H67" s="4">
        <v>63019</v>
      </c>
      <c r="I67" t="s">
        <v>455</v>
      </c>
      <c r="J67" s="4">
        <v>86</v>
      </c>
      <c r="K67" s="4">
        <v>86</v>
      </c>
      <c r="L67" s="6">
        <v>1</v>
      </c>
      <c r="M67">
        <v>65</v>
      </c>
      <c r="N67">
        <v>21</v>
      </c>
      <c r="O67">
        <v>65</v>
      </c>
      <c r="P67">
        <v>21</v>
      </c>
      <c r="Q67" s="2">
        <v>65</v>
      </c>
      <c r="R67" s="2">
        <v>21</v>
      </c>
      <c r="S67" t="s">
        <v>17</v>
      </c>
    </row>
    <row r="68" spans="1:19" ht="12.75">
      <c r="A68">
        <v>14</v>
      </c>
      <c r="B68">
        <v>1</v>
      </c>
      <c r="C68" t="s">
        <v>53</v>
      </c>
      <c r="D68" t="str">
        <f>HYPERLINK("http://www.ensembl.org/Cavia_porcellus/protview?peptide=ENSCPOP00000000308","P00000000308")</f>
        <v>P00000000308</v>
      </c>
      <c r="F68" s="2">
        <v>45.3</v>
      </c>
      <c r="G68" s="4">
        <v>128</v>
      </c>
      <c r="H68" s="4">
        <v>14729</v>
      </c>
      <c r="I68" t="s">
        <v>54</v>
      </c>
      <c r="J68" s="4">
        <v>86</v>
      </c>
      <c r="K68" s="4">
        <v>86</v>
      </c>
      <c r="L68" s="6">
        <v>1</v>
      </c>
      <c r="M68">
        <v>42</v>
      </c>
      <c r="N68">
        <v>44</v>
      </c>
      <c r="O68">
        <v>42</v>
      </c>
      <c r="P68">
        <v>44</v>
      </c>
      <c r="Q68" s="2">
        <v>42</v>
      </c>
      <c r="R68" s="2">
        <v>44</v>
      </c>
      <c r="S68" t="s">
        <v>17</v>
      </c>
    </row>
    <row r="69" spans="1:19" ht="12.75">
      <c r="A69">
        <v>14.01</v>
      </c>
      <c r="B69">
        <v>1</v>
      </c>
      <c r="C69" t="s">
        <v>55</v>
      </c>
      <c r="D69" t="str">
        <f>HYPERLINK("http://www.ensembl.org/Cavia_porcellus/protview?peptide=ENSCPOP00000005248","P00000005248")</f>
        <v>P00000005248</v>
      </c>
      <c r="E69" t="s">
        <v>34</v>
      </c>
      <c r="F69" s="2">
        <v>37.2</v>
      </c>
      <c r="G69" s="4">
        <v>156</v>
      </c>
      <c r="H69" s="4">
        <v>17966</v>
      </c>
      <c r="I69" t="s">
        <v>56</v>
      </c>
      <c r="J69" s="4">
        <v>86</v>
      </c>
      <c r="K69" s="4">
        <v>86</v>
      </c>
      <c r="L69" s="6">
        <v>1</v>
      </c>
      <c r="M69">
        <v>42</v>
      </c>
      <c r="N69">
        <v>44</v>
      </c>
      <c r="O69">
        <v>42</v>
      </c>
      <c r="P69">
        <v>44</v>
      </c>
      <c r="Q69" s="2">
        <v>42</v>
      </c>
      <c r="R69" s="2">
        <v>44</v>
      </c>
      <c r="S69" t="s">
        <v>17</v>
      </c>
    </row>
    <row r="70" spans="1:19" ht="12.75">
      <c r="A70">
        <v>161</v>
      </c>
      <c r="B70">
        <v>1</v>
      </c>
      <c r="C70" t="s">
        <v>381</v>
      </c>
      <c r="D70" t="str">
        <f>HYPERLINK("http://www.ensembl.org/Cavia_porcellus/protview?peptide=ENSCPOP00000014268","P00000014268")</f>
        <v>P00000014268</v>
      </c>
      <c r="F70" s="2">
        <v>70.9</v>
      </c>
      <c r="G70" s="4">
        <v>134</v>
      </c>
      <c r="H70" s="4">
        <v>14426</v>
      </c>
      <c r="I70" t="s">
        <v>382</v>
      </c>
      <c r="J70" s="4">
        <v>85</v>
      </c>
      <c r="K70" s="4">
        <v>6</v>
      </c>
      <c r="L70" s="6">
        <v>0.071</v>
      </c>
      <c r="M70">
        <v>31</v>
      </c>
      <c r="N70">
        <v>54</v>
      </c>
      <c r="O70">
        <v>3</v>
      </c>
      <c r="P70">
        <v>3</v>
      </c>
      <c r="Q70" s="2">
        <v>5.897</v>
      </c>
      <c r="R70" s="2">
        <v>7.371</v>
      </c>
      <c r="S70" t="s">
        <v>383</v>
      </c>
    </row>
    <row r="71" spans="1:19" ht="12.75">
      <c r="A71">
        <v>38</v>
      </c>
      <c r="B71">
        <v>1</v>
      </c>
      <c r="C71" t="s">
        <v>108</v>
      </c>
      <c r="D71" t="str">
        <f>HYPERLINK("http://www.ensembl.org/Cavia_porcellus/protview?peptide=ENSCPOP00000002538","P00000002538")</f>
        <v>P00000002538</v>
      </c>
      <c r="F71" s="2">
        <v>27.6</v>
      </c>
      <c r="G71" s="4">
        <v>449</v>
      </c>
      <c r="H71" s="4">
        <v>50076</v>
      </c>
      <c r="I71" t="s">
        <v>109</v>
      </c>
      <c r="J71" s="4">
        <v>82</v>
      </c>
      <c r="K71" s="4">
        <v>0</v>
      </c>
      <c r="L71" s="6">
        <v>0</v>
      </c>
      <c r="M71">
        <v>38</v>
      </c>
      <c r="N71">
        <v>44</v>
      </c>
      <c r="O71">
        <v>0</v>
      </c>
      <c r="P71">
        <v>0</v>
      </c>
      <c r="Q71" s="2">
        <v>2</v>
      </c>
      <c r="R71" s="2">
        <v>0.5</v>
      </c>
      <c r="S71" t="s">
        <v>110</v>
      </c>
    </row>
    <row r="72" spans="1:19" ht="12.75">
      <c r="A72">
        <v>168</v>
      </c>
      <c r="B72">
        <v>1</v>
      </c>
      <c r="C72" t="s">
        <v>396</v>
      </c>
      <c r="D72" t="str">
        <f>HYPERLINK("http://www.ensembl.org/Cavia_porcellus/protview?peptide=ENSCPOP00000015647","P00000015647")</f>
        <v>P00000015647</v>
      </c>
      <c r="F72" s="2">
        <v>45.7</v>
      </c>
      <c r="G72" s="4">
        <v>105</v>
      </c>
      <c r="H72" s="4">
        <v>11051</v>
      </c>
      <c r="I72" t="s">
        <v>397</v>
      </c>
      <c r="J72" s="4">
        <v>81</v>
      </c>
      <c r="K72" s="4">
        <v>1</v>
      </c>
      <c r="L72" s="6">
        <v>0.012</v>
      </c>
      <c r="M72">
        <v>33</v>
      </c>
      <c r="N72">
        <v>48</v>
      </c>
      <c r="O72">
        <v>0</v>
      </c>
      <c r="P72">
        <v>1</v>
      </c>
      <c r="Q72" s="2">
        <v>0</v>
      </c>
      <c r="R72" s="2">
        <v>2.424</v>
      </c>
      <c r="S72" t="s">
        <v>398</v>
      </c>
    </row>
    <row r="73" spans="1:19" ht="12.75">
      <c r="A73">
        <v>168.01</v>
      </c>
      <c r="B73">
        <v>1</v>
      </c>
      <c r="C73" t="s">
        <v>399</v>
      </c>
      <c r="D73" t="str">
        <f>HYPERLINK("http://www.ensembl.org/Cavia_porcellus/protview?peptide=ENSCPOP00000016331","P00000016331")</f>
        <v>P00000016331</v>
      </c>
      <c r="E73" t="s">
        <v>34</v>
      </c>
      <c r="F73" s="2">
        <v>45.7</v>
      </c>
      <c r="G73" s="4">
        <v>105</v>
      </c>
      <c r="H73" s="4">
        <v>11050</v>
      </c>
      <c r="I73" t="s">
        <v>400</v>
      </c>
      <c r="J73" s="4">
        <v>81</v>
      </c>
      <c r="K73" s="4">
        <v>1</v>
      </c>
      <c r="L73" s="6">
        <v>0.012</v>
      </c>
      <c r="M73">
        <v>33</v>
      </c>
      <c r="N73">
        <v>48</v>
      </c>
      <c r="O73">
        <v>0</v>
      </c>
      <c r="P73">
        <v>1</v>
      </c>
      <c r="Q73" s="2">
        <v>0</v>
      </c>
      <c r="R73" s="2">
        <v>2.424</v>
      </c>
      <c r="S73" t="s">
        <v>398</v>
      </c>
    </row>
    <row r="74" spans="1:19" ht="12.75">
      <c r="A74">
        <v>12</v>
      </c>
      <c r="B74">
        <v>1</v>
      </c>
      <c r="C74" t="s">
        <v>48</v>
      </c>
      <c r="D74" t="str">
        <f>HYPERLINK("http://www.ensembl.org/Cavia_porcellus/protview?peptide=ENSCPOP00000000062","P00000000062")</f>
        <v>P00000000062</v>
      </c>
      <c r="F74" s="2">
        <v>50.6</v>
      </c>
      <c r="G74" s="4">
        <v>597</v>
      </c>
      <c r="H74" s="4">
        <v>64967</v>
      </c>
      <c r="I74" t="s">
        <v>49</v>
      </c>
      <c r="J74" s="4">
        <v>78</v>
      </c>
      <c r="K74" s="4">
        <v>78</v>
      </c>
      <c r="L74" s="6">
        <v>1</v>
      </c>
      <c r="M74">
        <v>52</v>
      </c>
      <c r="N74">
        <v>26</v>
      </c>
      <c r="O74">
        <v>52</v>
      </c>
      <c r="P74">
        <v>26</v>
      </c>
      <c r="Q74" s="2">
        <v>52</v>
      </c>
      <c r="R74" s="2">
        <v>26</v>
      </c>
      <c r="S74" t="s">
        <v>17</v>
      </c>
    </row>
    <row r="75" spans="1:19" ht="12.75">
      <c r="A75">
        <v>141</v>
      </c>
      <c r="B75">
        <v>1</v>
      </c>
      <c r="C75" t="s">
        <v>339</v>
      </c>
      <c r="D75" t="str">
        <f>HYPERLINK("http://www.ensembl.org/Cavia_porcellus/protview?peptide=ENSCPOP00000012172","P00000012172")</f>
        <v>P00000012172</v>
      </c>
      <c r="F75" s="2">
        <v>80.9</v>
      </c>
      <c r="G75" s="4">
        <v>115</v>
      </c>
      <c r="H75" s="4">
        <v>12514</v>
      </c>
      <c r="I75" t="s">
        <v>340</v>
      </c>
      <c r="J75" s="4">
        <v>76</v>
      </c>
      <c r="K75" s="4">
        <v>76</v>
      </c>
      <c r="L75" s="6">
        <v>1</v>
      </c>
      <c r="M75">
        <v>37</v>
      </c>
      <c r="N75">
        <v>39</v>
      </c>
      <c r="O75">
        <v>37</v>
      </c>
      <c r="P75">
        <v>39</v>
      </c>
      <c r="Q75" s="2">
        <v>37</v>
      </c>
      <c r="R75" s="2">
        <v>39</v>
      </c>
      <c r="S75" t="s">
        <v>17</v>
      </c>
    </row>
    <row r="76" spans="1:19" ht="12.75">
      <c r="A76">
        <v>61</v>
      </c>
      <c r="B76">
        <v>1</v>
      </c>
      <c r="C76" t="s">
        <v>158</v>
      </c>
      <c r="D76" t="str">
        <f>HYPERLINK("http://www.ensembl.org/Cavia_porcellus/protview?peptide=ENSCPOP00000004691","P00000004691")</f>
        <v>P00000004691</v>
      </c>
      <c r="F76" s="2">
        <v>67.8</v>
      </c>
      <c r="G76" s="4">
        <v>183</v>
      </c>
      <c r="H76" s="4">
        <v>21310</v>
      </c>
      <c r="I76" t="s">
        <v>159</v>
      </c>
      <c r="J76" s="4">
        <v>73</v>
      </c>
      <c r="K76" s="4">
        <v>73</v>
      </c>
      <c r="L76" s="6">
        <v>1</v>
      </c>
      <c r="M76">
        <v>40</v>
      </c>
      <c r="N76">
        <v>33</v>
      </c>
      <c r="O76">
        <v>40</v>
      </c>
      <c r="P76">
        <v>33</v>
      </c>
      <c r="Q76" s="2">
        <v>40</v>
      </c>
      <c r="R76" s="2">
        <v>33</v>
      </c>
      <c r="S76" t="s">
        <v>17</v>
      </c>
    </row>
    <row r="77" spans="1:19" ht="12.75">
      <c r="A77">
        <v>127</v>
      </c>
      <c r="B77">
        <v>1</v>
      </c>
      <c r="C77" t="s">
        <v>308</v>
      </c>
      <c r="D77" t="str">
        <f>HYPERLINK("http://www.ensembl.org/Cavia_porcellus/protview?peptide=ENSCPOP00000011060","P00000011060")</f>
        <v>P00000011060</v>
      </c>
      <c r="F77" s="2">
        <v>48.1</v>
      </c>
      <c r="G77" s="4">
        <v>133</v>
      </c>
      <c r="H77" s="4">
        <v>14900</v>
      </c>
      <c r="I77" t="s">
        <v>309</v>
      </c>
      <c r="J77" s="4">
        <v>72</v>
      </c>
      <c r="K77" s="4">
        <v>72</v>
      </c>
      <c r="L77" s="6">
        <v>1</v>
      </c>
      <c r="M77">
        <v>39</v>
      </c>
      <c r="N77">
        <v>33</v>
      </c>
      <c r="O77">
        <v>39</v>
      </c>
      <c r="P77">
        <v>33</v>
      </c>
      <c r="Q77" s="2">
        <v>39</v>
      </c>
      <c r="R77" s="2">
        <v>33</v>
      </c>
      <c r="S77" t="s">
        <v>17</v>
      </c>
    </row>
    <row r="78" spans="1:19" ht="12.75">
      <c r="A78">
        <v>90</v>
      </c>
      <c r="B78">
        <v>1</v>
      </c>
      <c r="C78" t="s">
        <v>223</v>
      </c>
      <c r="D78" t="str">
        <f>HYPERLINK("http://www.ensembl.org/Cavia_porcellus/protview?peptide=ENSCPOP00000007207","P00000007207")</f>
        <v>P00000007207</v>
      </c>
      <c r="F78" s="2">
        <v>45.5</v>
      </c>
      <c r="G78" s="4">
        <v>255</v>
      </c>
      <c r="H78" s="4">
        <v>29027</v>
      </c>
      <c r="I78" t="s">
        <v>224</v>
      </c>
      <c r="J78" s="4">
        <v>71</v>
      </c>
      <c r="K78" s="4">
        <v>52</v>
      </c>
      <c r="L78" s="6">
        <v>0.732</v>
      </c>
      <c r="M78">
        <v>55</v>
      </c>
      <c r="N78">
        <v>16</v>
      </c>
      <c r="O78">
        <v>39</v>
      </c>
      <c r="P78">
        <v>13</v>
      </c>
      <c r="Q78" s="2">
        <v>44.571</v>
      </c>
      <c r="R78" s="2">
        <v>14.026</v>
      </c>
      <c r="S78" t="s">
        <v>225</v>
      </c>
    </row>
    <row r="79" spans="1:19" ht="12.75">
      <c r="A79">
        <v>164</v>
      </c>
      <c r="B79">
        <v>1</v>
      </c>
      <c r="C79" t="s">
        <v>388</v>
      </c>
      <c r="D79" t="str">
        <f>HYPERLINK("http://www.ensembl.org/Cavia_porcellus/protview?peptide=ENSCPOP00000014893","P00000014893")</f>
        <v>P00000014893</v>
      </c>
      <c r="F79" s="2">
        <v>46.1</v>
      </c>
      <c r="G79" s="4">
        <v>245</v>
      </c>
      <c r="H79" s="4">
        <v>27746</v>
      </c>
      <c r="I79" t="s">
        <v>389</v>
      </c>
      <c r="J79" s="4">
        <v>67</v>
      </c>
      <c r="K79" s="4">
        <v>48</v>
      </c>
      <c r="L79" s="6">
        <v>0.716</v>
      </c>
      <c r="M79">
        <v>53</v>
      </c>
      <c r="N79">
        <v>14</v>
      </c>
      <c r="O79">
        <v>37</v>
      </c>
      <c r="P79">
        <v>11</v>
      </c>
      <c r="Q79" s="2">
        <v>42.286</v>
      </c>
      <c r="R79" s="2">
        <v>11.868</v>
      </c>
      <c r="S79" t="s">
        <v>225</v>
      </c>
    </row>
    <row r="80" spans="1:19" ht="12.75">
      <c r="A80">
        <v>148</v>
      </c>
      <c r="B80">
        <v>1</v>
      </c>
      <c r="C80" t="s">
        <v>354</v>
      </c>
      <c r="D80" t="str">
        <f>HYPERLINK("http://www.ensembl.org/Cavia_porcellus/protview?peptide=ENSCPOP00000012665","P00000012665")</f>
        <v>P00000012665</v>
      </c>
      <c r="F80" s="2">
        <v>49.1</v>
      </c>
      <c r="G80" s="4">
        <v>352</v>
      </c>
      <c r="H80" s="4">
        <v>38573</v>
      </c>
      <c r="I80" t="s">
        <v>355</v>
      </c>
      <c r="J80" s="4">
        <v>67</v>
      </c>
      <c r="K80" s="4">
        <v>66</v>
      </c>
      <c r="L80" s="6">
        <v>0.985</v>
      </c>
      <c r="M80">
        <v>41</v>
      </c>
      <c r="N80">
        <v>26</v>
      </c>
      <c r="O80">
        <v>40</v>
      </c>
      <c r="P80">
        <v>26</v>
      </c>
      <c r="Q80" s="2">
        <v>40.952</v>
      </c>
      <c r="R80" s="2">
        <v>26</v>
      </c>
      <c r="S80" t="s">
        <v>59</v>
      </c>
    </row>
    <row r="81" spans="1:19" ht="12.75">
      <c r="A81">
        <v>172</v>
      </c>
      <c r="B81">
        <v>1</v>
      </c>
      <c r="C81" t="s">
        <v>409</v>
      </c>
      <c r="D81" t="str">
        <f>HYPERLINK("http://www.ensembl.org/Cavia_porcellus/protview?peptide=ENSCPOP00000016078","P00000016078")</f>
        <v>P00000016078</v>
      </c>
      <c r="F81" s="2">
        <v>24.8</v>
      </c>
      <c r="G81" s="4">
        <v>646</v>
      </c>
      <c r="H81" s="4">
        <v>71326</v>
      </c>
      <c r="I81" t="s">
        <v>410</v>
      </c>
      <c r="J81" s="4">
        <v>66</v>
      </c>
      <c r="K81" s="4">
        <v>66</v>
      </c>
      <c r="L81" s="6">
        <v>1</v>
      </c>
      <c r="M81">
        <v>36</v>
      </c>
      <c r="N81">
        <v>30</v>
      </c>
      <c r="O81">
        <v>36</v>
      </c>
      <c r="P81">
        <v>30</v>
      </c>
      <c r="Q81" s="2">
        <v>36</v>
      </c>
      <c r="R81" s="2">
        <v>30</v>
      </c>
      <c r="S81" t="s">
        <v>17</v>
      </c>
    </row>
    <row r="82" spans="1:19" ht="12.75">
      <c r="A82">
        <v>94</v>
      </c>
      <c r="B82">
        <v>1</v>
      </c>
      <c r="C82" t="s">
        <v>232</v>
      </c>
      <c r="D82" t="str">
        <f>HYPERLINK("http://www.ensembl.org/Cavia_porcellus/protview?peptide=ENSCPOP00000007694","P00000007694")</f>
        <v>P00000007694</v>
      </c>
      <c r="F82" s="2">
        <v>39.8</v>
      </c>
      <c r="G82" s="4">
        <v>558</v>
      </c>
      <c r="H82" s="4">
        <v>62815</v>
      </c>
      <c r="I82" t="s">
        <v>233</v>
      </c>
      <c r="J82" s="4">
        <v>66</v>
      </c>
      <c r="K82" s="4">
        <v>66</v>
      </c>
      <c r="L82" s="6">
        <v>1</v>
      </c>
      <c r="M82">
        <v>33</v>
      </c>
      <c r="N82">
        <v>33</v>
      </c>
      <c r="O82">
        <v>33</v>
      </c>
      <c r="P82">
        <v>33</v>
      </c>
      <c r="Q82" s="2">
        <v>33</v>
      </c>
      <c r="R82" s="2">
        <v>33</v>
      </c>
      <c r="S82" t="s">
        <v>17</v>
      </c>
    </row>
    <row r="83" spans="1:19" ht="12.75">
      <c r="A83">
        <v>72</v>
      </c>
      <c r="B83">
        <v>1</v>
      </c>
      <c r="C83" t="s">
        <v>183</v>
      </c>
      <c r="D83" t="str">
        <f>HYPERLINK("http://www.ensembl.org/Cavia_porcellus/protview?peptide=ENSCPOP00000005768","P00000005768")</f>
        <v>P00000005768</v>
      </c>
      <c r="F83" s="2">
        <v>54</v>
      </c>
      <c r="G83" s="4">
        <v>339</v>
      </c>
      <c r="H83" s="4">
        <v>38644</v>
      </c>
      <c r="I83" t="s">
        <v>184</v>
      </c>
      <c r="J83" s="4">
        <v>62</v>
      </c>
      <c r="K83" s="4">
        <v>62</v>
      </c>
      <c r="L83" s="6">
        <v>1</v>
      </c>
      <c r="M83">
        <v>29</v>
      </c>
      <c r="N83">
        <v>33</v>
      </c>
      <c r="O83">
        <v>29</v>
      </c>
      <c r="P83">
        <v>33</v>
      </c>
      <c r="Q83" s="2">
        <v>29</v>
      </c>
      <c r="R83" s="2">
        <v>33</v>
      </c>
      <c r="S83" t="s">
        <v>17</v>
      </c>
    </row>
    <row r="84" spans="1:19" ht="12.75">
      <c r="A84">
        <v>133</v>
      </c>
      <c r="B84">
        <v>1</v>
      </c>
      <c r="C84" t="s">
        <v>320</v>
      </c>
      <c r="D84" t="str">
        <f>HYPERLINK("http://www.ensembl.org/Cavia_porcellus/protview?peptide=ENSCPOP00000011567","P00000011567")</f>
        <v>P00000011567</v>
      </c>
      <c r="F84" s="2">
        <v>59.1</v>
      </c>
      <c r="G84" s="4">
        <v>323</v>
      </c>
      <c r="H84" s="4">
        <v>36359</v>
      </c>
      <c r="I84" t="s">
        <v>321</v>
      </c>
      <c r="J84" s="4">
        <v>61</v>
      </c>
      <c r="K84" s="4">
        <v>61</v>
      </c>
      <c r="L84" s="6">
        <v>1</v>
      </c>
      <c r="M84">
        <v>31</v>
      </c>
      <c r="N84">
        <v>30</v>
      </c>
      <c r="O84">
        <v>31</v>
      </c>
      <c r="P84">
        <v>30</v>
      </c>
      <c r="Q84" s="2">
        <v>31</v>
      </c>
      <c r="R84" s="2">
        <v>30</v>
      </c>
      <c r="S84" t="s">
        <v>17</v>
      </c>
    </row>
    <row r="85" spans="1:19" ht="12.75">
      <c r="A85">
        <v>166</v>
      </c>
      <c r="B85">
        <v>1</v>
      </c>
      <c r="C85" t="s">
        <v>392</v>
      </c>
      <c r="D85" t="str">
        <f>HYPERLINK("http://www.ensembl.org/Cavia_porcellus/protview?peptide=ENSCPOP00000015445","P00000015445")</f>
        <v>P00000015445</v>
      </c>
      <c r="F85" s="2">
        <v>31.2</v>
      </c>
      <c r="G85" s="4">
        <v>442</v>
      </c>
      <c r="H85" s="4">
        <v>48838</v>
      </c>
      <c r="I85" t="s">
        <v>393</v>
      </c>
      <c r="J85" s="4">
        <v>60</v>
      </c>
      <c r="K85" s="4">
        <v>1</v>
      </c>
      <c r="L85" s="6">
        <v>0.017</v>
      </c>
      <c r="M85">
        <v>30</v>
      </c>
      <c r="N85">
        <v>30</v>
      </c>
      <c r="O85">
        <v>0</v>
      </c>
      <c r="P85">
        <v>1</v>
      </c>
      <c r="Q85" s="2">
        <v>9.5</v>
      </c>
      <c r="R85" s="2">
        <v>18.923</v>
      </c>
      <c r="S85" t="s">
        <v>110</v>
      </c>
    </row>
    <row r="86" spans="1:19" ht="12.75">
      <c r="A86">
        <v>108</v>
      </c>
      <c r="B86">
        <v>1</v>
      </c>
      <c r="C86" t="s">
        <v>264</v>
      </c>
      <c r="D86" t="str">
        <f>HYPERLINK("http://www.ensembl.org/Cavia_porcellus/protview?peptide=ENSCPOP00000009553","P00000009553")</f>
        <v>P00000009553</v>
      </c>
      <c r="F86" s="2">
        <v>27.8</v>
      </c>
      <c r="G86" s="4">
        <v>417</v>
      </c>
      <c r="H86" s="4">
        <v>44825</v>
      </c>
      <c r="I86" t="s">
        <v>265</v>
      </c>
      <c r="J86" s="4">
        <v>60</v>
      </c>
      <c r="K86" s="4">
        <v>2</v>
      </c>
      <c r="L86" s="6">
        <v>0.033</v>
      </c>
      <c r="M86">
        <v>30</v>
      </c>
      <c r="N86">
        <v>30</v>
      </c>
      <c r="O86">
        <v>1</v>
      </c>
      <c r="P86">
        <v>1</v>
      </c>
      <c r="Q86" s="2">
        <v>2.16</v>
      </c>
      <c r="R86" s="2">
        <v>1.879</v>
      </c>
      <c r="S86" t="s">
        <v>266</v>
      </c>
    </row>
    <row r="87" spans="1:19" ht="12.75">
      <c r="A87">
        <v>194</v>
      </c>
      <c r="B87">
        <v>1</v>
      </c>
      <c r="C87" t="s">
        <v>458</v>
      </c>
      <c r="D87" t="str">
        <f>HYPERLINK("http://www.ensembl.org/Cavia_porcellus/protview?peptide=ENSCPOP00000019620","P00000019620")</f>
        <v>P00000019620</v>
      </c>
      <c r="F87" s="2">
        <v>68.3</v>
      </c>
      <c r="G87" s="4">
        <v>218</v>
      </c>
      <c r="H87" s="4">
        <v>25696</v>
      </c>
      <c r="I87" t="s">
        <v>459</v>
      </c>
      <c r="J87" s="4">
        <v>57</v>
      </c>
      <c r="K87" s="4">
        <v>26</v>
      </c>
      <c r="L87" s="6">
        <v>0.456</v>
      </c>
      <c r="M87">
        <v>32</v>
      </c>
      <c r="N87">
        <v>25</v>
      </c>
      <c r="O87">
        <v>14</v>
      </c>
      <c r="P87">
        <v>12</v>
      </c>
      <c r="Q87" s="2">
        <v>25.13</v>
      </c>
      <c r="R87" s="2">
        <v>19.143</v>
      </c>
      <c r="S87" t="s">
        <v>218</v>
      </c>
    </row>
    <row r="88" spans="1:19" ht="12.75">
      <c r="A88">
        <v>92</v>
      </c>
      <c r="B88">
        <v>1</v>
      </c>
      <c r="C88" t="s">
        <v>228</v>
      </c>
      <c r="D88" t="str">
        <f>HYPERLINK("http://www.ensembl.org/Cavia_porcellus/protview?peptide=ENSCPOP00000007540","P00000007540")</f>
        <v>P00000007540</v>
      </c>
      <c r="F88" s="2">
        <v>26.8</v>
      </c>
      <c r="G88" s="4">
        <v>735</v>
      </c>
      <c r="H88" s="4">
        <v>81034</v>
      </c>
      <c r="I88" t="s">
        <v>229</v>
      </c>
      <c r="J88" s="4">
        <v>52</v>
      </c>
      <c r="K88" s="4">
        <v>52</v>
      </c>
      <c r="L88" s="6">
        <v>1</v>
      </c>
      <c r="M88">
        <v>28</v>
      </c>
      <c r="N88">
        <v>24</v>
      </c>
      <c r="O88">
        <v>28</v>
      </c>
      <c r="P88">
        <v>24</v>
      </c>
      <c r="Q88" s="2">
        <v>28</v>
      </c>
      <c r="R88" s="2">
        <v>24</v>
      </c>
      <c r="S88" t="s">
        <v>17</v>
      </c>
    </row>
    <row r="89" spans="1:19" ht="12.75">
      <c r="A89">
        <v>67</v>
      </c>
      <c r="B89">
        <v>1</v>
      </c>
      <c r="C89" t="s">
        <v>171</v>
      </c>
      <c r="D89" t="str">
        <f>HYPERLINK("http://www.ensembl.org/Cavia_porcellus/protview?peptide=ENSCPOP00000005390","P00000005390")</f>
        <v>P00000005390</v>
      </c>
      <c r="F89" s="2">
        <v>22.5</v>
      </c>
      <c r="G89" s="4">
        <v>903</v>
      </c>
      <c r="H89" s="4">
        <v>100558</v>
      </c>
      <c r="I89" t="s">
        <v>172</v>
      </c>
      <c r="J89" s="4">
        <v>50</v>
      </c>
      <c r="K89" s="4">
        <v>12</v>
      </c>
      <c r="L89" s="6">
        <v>0.24</v>
      </c>
      <c r="M89">
        <v>25</v>
      </c>
      <c r="N89">
        <v>25</v>
      </c>
      <c r="O89">
        <v>6</v>
      </c>
      <c r="P89">
        <v>6</v>
      </c>
      <c r="Q89" s="2">
        <v>9.353</v>
      </c>
      <c r="R89" s="2">
        <v>9.562</v>
      </c>
      <c r="S89" t="s">
        <v>173</v>
      </c>
    </row>
    <row r="90" spans="1:19" ht="12.75">
      <c r="A90">
        <v>105</v>
      </c>
      <c r="B90">
        <v>1</v>
      </c>
      <c r="C90" t="s">
        <v>257</v>
      </c>
      <c r="D90" t="str">
        <f>HYPERLINK("http://www.ensembl.org/Cavia_porcellus/protview?peptide=ENSCPOP00000009124","P00000009124")</f>
        <v>P00000009124</v>
      </c>
      <c r="F90" s="2">
        <v>46.2</v>
      </c>
      <c r="G90" s="4">
        <v>247</v>
      </c>
      <c r="H90" s="4">
        <v>28318</v>
      </c>
      <c r="I90" t="s">
        <v>258</v>
      </c>
      <c r="J90" s="4">
        <v>49</v>
      </c>
      <c r="K90" s="4">
        <v>27</v>
      </c>
      <c r="L90" s="6">
        <v>0.551</v>
      </c>
      <c r="M90">
        <v>37</v>
      </c>
      <c r="N90">
        <v>12</v>
      </c>
      <c r="O90">
        <v>18</v>
      </c>
      <c r="P90">
        <v>9</v>
      </c>
      <c r="Q90" s="2">
        <v>22.071</v>
      </c>
      <c r="R90" s="2">
        <v>9.711</v>
      </c>
      <c r="S90" t="s">
        <v>225</v>
      </c>
    </row>
    <row r="91" spans="1:19" ht="12.75">
      <c r="A91">
        <v>28</v>
      </c>
      <c r="B91">
        <v>1</v>
      </c>
      <c r="C91" t="s">
        <v>84</v>
      </c>
      <c r="D91" t="str">
        <f>HYPERLINK("http://www.ensembl.org/Cavia_porcellus/protview?peptide=ENSCPOP00000001822","P00000001822")</f>
        <v>P00000001822</v>
      </c>
      <c r="F91" s="2">
        <v>31.4</v>
      </c>
      <c r="G91" s="4">
        <v>733</v>
      </c>
      <c r="H91" s="4">
        <v>84789</v>
      </c>
      <c r="I91" t="s">
        <v>85</v>
      </c>
      <c r="J91" s="4">
        <v>48</v>
      </c>
      <c r="K91" s="4">
        <v>36</v>
      </c>
      <c r="L91" s="6">
        <v>0.75</v>
      </c>
      <c r="M91">
        <v>32</v>
      </c>
      <c r="N91">
        <v>16</v>
      </c>
      <c r="O91">
        <v>25</v>
      </c>
      <c r="P91">
        <v>11</v>
      </c>
      <c r="Q91" s="2">
        <v>30.833</v>
      </c>
      <c r="R91" s="2">
        <v>15.231</v>
      </c>
      <c r="S91" t="s">
        <v>86</v>
      </c>
    </row>
    <row r="92" spans="1:19" ht="12.75">
      <c r="A92">
        <v>55</v>
      </c>
      <c r="B92">
        <v>1</v>
      </c>
      <c r="C92" t="s">
        <v>146</v>
      </c>
      <c r="D92" t="str">
        <f>HYPERLINK("http://www.ensembl.org/Cavia_porcellus/protview?peptide=ENSCPOP00000004343","P00000004343")</f>
        <v>P00000004343</v>
      </c>
      <c r="F92" s="2">
        <v>18.8</v>
      </c>
      <c r="G92" s="4">
        <v>1080</v>
      </c>
      <c r="H92" s="4">
        <v>121937</v>
      </c>
      <c r="I92" t="s">
        <v>147</v>
      </c>
      <c r="J92" s="4">
        <v>47</v>
      </c>
      <c r="K92" s="4">
        <v>47</v>
      </c>
      <c r="L92" s="6">
        <v>1</v>
      </c>
      <c r="M92">
        <v>30</v>
      </c>
      <c r="N92">
        <v>17</v>
      </c>
      <c r="O92">
        <v>30</v>
      </c>
      <c r="P92">
        <v>17</v>
      </c>
      <c r="Q92" s="2">
        <v>30</v>
      </c>
      <c r="R92" s="2">
        <v>17</v>
      </c>
      <c r="S92" t="s">
        <v>17</v>
      </c>
    </row>
    <row r="93" spans="1:19" ht="12.75">
      <c r="A93">
        <v>187</v>
      </c>
      <c r="B93">
        <v>1</v>
      </c>
      <c r="C93" t="s">
        <v>444</v>
      </c>
      <c r="D93" t="str">
        <f>HYPERLINK("http://www.ensembl.org/Cavia_porcellus/protview?peptide=ENSCPOP00000018715","P00000018715")</f>
        <v>P00000018715</v>
      </c>
      <c r="F93" s="2">
        <v>38.3</v>
      </c>
      <c r="G93" s="4">
        <v>515</v>
      </c>
      <c r="H93" s="4">
        <v>59359</v>
      </c>
      <c r="I93" t="s">
        <v>445</v>
      </c>
      <c r="J93" s="4">
        <v>47</v>
      </c>
      <c r="K93" s="4">
        <v>47</v>
      </c>
      <c r="L93" s="6">
        <v>1</v>
      </c>
      <c r="M93">
        <v>25</v>
      </c>
      <c r="N93">
        <v>22</v>
      </c>
      <c r="O93">
        <v>25</v>
      </c>
      <c r="P93">
        <v>22</v>
      </c>
      <c r="Q93" s="2">
        <v>25</v>
      </c>
      <c r="R93" s="2">
        <v>22</v>
      </c>
      <c r="S93" t="s">
        <v>17</v>
      </c>
    </row>
    <row r="94" spans="1:19" ht="12.75">
      <c r="A94">
        <v>68</v>
      </c>
      <c r="B94">
        <v>1</v>
      </c>
      <c r="C94" t="s">
        <v>174</v>
      </c>
      <c r="D94" t="str">
        <f>HYPERLINK("http://www.ensembl.org/Cavia_porcellus/protview?peptide=ENSCPOP00000005421","P00000005421")</f>
        <v>P00000005421</v>
      </c>
      <c r="F94" s="2">
        <v>6.5</v>
      </c>
      <c r="G94" s="4">
        <v>949</v>
      </c>
      <c r="H94" s="4">
        <v>105808</v>
      </c>
      <c r="I94" t="s">
        <v>175</v>
      </c>
      <c r="J94" s="4">
        <v>47</v>
      </c>
      <c r="K94" s="4">
        <v>47</v>
      </c>
      <c r="L94" s="6">
        <v>1</v>
      </c>
      <c r="M94">
        <v>22</v>
      </c>
      <c r="N94">
        <v>25</v>
      </c>
      <c r="O94">
        <v>22</v>
      </c>
      <c r="P94">
        <v>25</v>
      </c>
      <c r="Q94" s="2">
        <v>22</v>
      </c>
      <c r="R94" s="2">
        <v>25</v>
      </c>
      <c r="S94" t="s">
        <v>17</v>
      </c>
    </row>
    <row r="95" spans="1:19" ht="12.75">
      <c r="A95">
        <v>218</v>
      </c>
      <c r="B95">
        <v>1</v>
      </c>
      <c r="C95" t="s">
        <v>494</v>
      </c>
      <c r="D95" t="s">
        <v>17</v>
      </c>
      <c r="E95" t="s">
        <v>477</v>
      </c>
      <c r="F95" s="2">
        <v>9.7</v>
      </c>
      <c r="G95" s="4">
        <v>725</v>
      </c>
      <c r="H95" s="4">
        <v>83346</v>
      </c>
      <c r="I95" t="s">
        <v>478</v>
      </c>
      <c r="J95" s="4">
        <v>46</v>
      </c>
      <c r="K95" s="4">
        <v>46</v>
      </c>
      <c r="L95" s="6">
        <v>1</v>
      </c>
      <c r="M95">
        <v>16</v>
      </c>
      <c r="N95">
        <v>30</v>
      </c>
      <c r="O95">
        <v>16</v>
      </c>
      <c r="P95">
        <v>30</v>
      </c>
      <c r="Q95" s="2">
        <v>16</v>
      </c>
      <c r="R95" s="2">
        <v>30</v>
      </c>
      <c r="S95" t="s">
        <v>17</v>
      </c>
    </row>
    <row r="96" spans="1:19" ht="12.75">
      <c r="A96">
        <v>87</v>
      </c>
      <c r="B96">
        <v>1</v>
      </c>
      <c r="C96" t="s">
        <v>216</v>
      </c>
      <c r="D96" t="str">
        <f>HYPERLINK("http://www.ensembl.org/Cavia_porcellus/protview?peptide=ENSCPOP00000007027","P00000007027")</f>
        <v>P00000007027</v>
      </c>
      <c r="F96" s="2">
        <v>46.1</v>
      </c>
      <c r="G96" s="4">
        <v>217</v>
      </c>
      <c r="H96" s="4">
        <v>25738</v>
      </c>
      <c r="I96" t="s">
        <v>217</v>
      </c>
      <c r="J96" s="4">
        <v>45</v>
      </c>
      <c r="K96" s="4">
        <v>13</v>
      </c>
      <c r="L96" s="6">
        <v>0.289</v>
      </c>
      <c r="M96">
        <v>24</v>
      </c>
      <c r="N96">
        <v>21</v>
      </c>
      <c r="O96">
        <v>6</v>
      </c>
      <c r="P96">
        <v>7</v>
      </c>
      <c r="Q96" s="2">
        <v>10.77</v>
      </c>
      <c r="R96" s="2">
        <v>11.867</v>
      </c>
      <c r="S96" t="s">
        <v>218</v>
      </c>
    </row>
    <row r="97" spans="1:19" ht="12.75">
      <c r="A97">
        <v>112</v>
      </c>
      <c r="B97">
        <v>1</v>
      </c>
      <c r="C97" t="s">
        <v>273</v>
      </c>
      <c r="D97" t="str">
        <f>HYPERLINK("http://www.ensembl.org/Cavia_porcellus/protview?peptide=ENSCPOP00000009825","P00000009825")</f>
        <v>P00000009825</v>
      </c>
      <c r="F97" s="2">
        <v>15.4</v>
      </c>
      <c r="G97" s="4">
        <v>2377</v>
      </c>
      <c r="H97" s="4">
        <v>276135</v>
      </c>
      <c r="I97" t="s">
        <v>274</v>
      </c>
      <c r="J97" s="4">
        <v>44</v>
      </c>
      <c r="K97" s="4">
        <v>44</v>
      </c>
      <c r="L97" s="6">
        <v>1</v>
      </c>
      <c r="M97">
        <v>32</v>
      </c>
      <c r="N97">
        <v>12</v>
      </c>
      <c r="O97">
        <v>32</v>
      </c>
      <c r="P97">
        <v>12</v>
      </c>
      <c r="Q97" s="2">
        <v>32</v>
      </c>
      <c r="R97" s="2">
        <v>12</v>
      </c>
      <c r="S97" t="s">
        <v>17</v>
      </c>
    </row>
    <row r="98" spans="1:19" ht="12.75">
      <c r="A98">
        <v>5</v>
      </c>
      <c r="B98">
        <v>1</v>
      </c>
      <c r="C98" t="s">
        <v>28</v>
      </c>
      <c r="D98" t="s">
        <v>17</v>
      </c>
      <c r="E98" t="s">
        <v>18</v>
      </c>
      <c r="F98" s="2">
        <v>20.7</v>
      </c>
      <c r="G98" s="4">
        <v>609</v>
      </c>
      <c r="H98" s="4">
        <v>69368</v>
      </c>
      <c r="I98" t="s">
        <v>29</v>
      </c>
      <c r="J98" s="4">
        <v>44</v>
      </c>
      <c r="K98" s="4">
        <v>31</v>
      </c>
      <c r="L98" s="6">
        <v>0.705</v>
      </c>
      <c r="M98">
        <v>16</v>
      </c>
      <c r="N98">
        <v>28</v>
      </c>
      <c r="O98">
        <v>9</v>
      </c>
      <c r="P98">
        <v>22</v>
      </c>
      <c r="Q98" s="2">
        <v>9.154</v>
      </c>
      <c r="R98" s="2">
        <v>23.483</v>
      </c>
      <c r="S98" t="s">
        <v>25</v>
      </c>
    </row>
    <row r="99" spans="1:19" ht="12.75">
      <c r="A99">
        <v>98</v>
      </c>
      <c r="B99">
        <v>1</v>
      </c>
      <c r="C99" t="s">
        <v>240</v>
      </c>
      <c r="D99" t="str">
        <f>HYPERLINK("http://www.ensembl.org/Cavia_porcellus/protview?peptide=ENSCPOP00000008191","P00000008191")</f>
        <v>P00000008191</v>
      </c>
      <c r="F99" s="2">
        <v>47</v>
      </c>
      <c r="G99" s="4">
        <v>415</v>
      </c>
      <c r="H99" s="4">
        <v>45847</v>
      </c>
      <c r="I99" t="s">
        <v>241</v>
      </c>
      <c r="J99" s="4">
        <v>41</v>
      </c>
      <c r="K99" s="4">
        <v>41</v>
      </c>
      <c r="L99" s="6">
        <v>1</v>
      </c>
      <c r="M99">
        <v>27</v>
      </c>
      <c r="N99">
        <v>14</v>
      </c>
      <c r="O99">
        <v>27</v>
      </c>
      <c r="P99">
        <v>14</v>
      </c>
      <c r="Q99" s="2">
        <v>27</v>
      </c>
      <c r="R99" s="2">
        <v>14</v>
      </c>
      <c r="S99" t="s">
        <v>17</v>
      </c>
    </row>
    <row r="100" spans="1:19" ht="12.75">
      <c r="A100">
        <v>50</v>
      </c>
      <c r="B100">
        <v>1</v>
      </c>
      <c r="C100" t="s">
        <v>136</v>
      </c>
      <c r="D100" t="str">
        <f>HYPERLINK("http://www.ensembl.org/Cavia_porcellus/protview?peptide=ENSCPOP00000003787","P00000003787")</f>
        <v>P00000003787</v>
      </c>
      <c r="F100" s="2">
        <v>27.2</v>
      </c>
      <c r="G100" s="4">
        <v>474</v>
      </c>
      <c r="H100" s="4">
        <v>52335</v>
      </c>
      <c r="I100" t="s">
        <v>137</v>
      </c>
      <c r="J100" s="4">
        <v>40</v>
      </c>
      <c r="K100" s="4">
        <v>40</v>
      </c>
      <c r="L100" s="6">
        <v>1</v>
      </c>
      <c r="M100">
        <v>26</v>
      </c>
      <c r="N100">
        <v>14</v>
      </c>
      <c r="O100">
        <v>26</v>
      </c>
      <c r="P100">
        <v>14</v>
      </c>
      <c r="Q100" s="2">
        <v>26</v>
      </c>
      <c r="R100" s="2">
        <v>14</v>
      </c>
      <c r="S100" t="s">
        <v>17</v>
      </c>
    </row>
    <row r="101" spans="1:19" ht="12.75">
      <c r="A101">
        <v>8</v>
      </c>
      <c r="B101">
        <v>1</v>
      </c>
      <c r="C101" t="s">
        <v>38</v>
      </c>
      <c r="D101" t="s">
        <v>17</v>
      </c>
      <c r="E101" t="s">
        <v>18</v>
      </c>
      <c r="F101" s="2">
        <v>32.1</v>
      </c>
      <c r="G101" s="4">
        <v>644</v>
      </c>
      <c r="H101" s="4">
        <v>66019</v>
      </c>
      <c r="I101" t="s">
        <v>39</v>
      </c>
      <c r="J101" s="4">
        <v>40</v>
      </c>
      <c r="K101" s="4">
        <v>14</v>
      </c>
      <c r="L101" s="6">
        <v>0.35</v>
      </c>
      <c r="M101">
        <v>20</v>
      </c>
      <c r="N101">
        <v>20</v>
      </c>
      <c r="O101">
        <v>6</v>
      </c>
      <c r="P101">
        <v>8</v>
      </c>
      <c r="Q101" s="2">
        <v>15.621</v>
      </c>
      <c r="R101" s="2">
        <v>16.28</v>
      </c>
      <c r="S101" t="s">
        <v>32</v>
      </c>
    </row>
    <row r="102" spans="1:19" ht="12.75">
      <c r="A102">
        <v>17</v>
      </c>
      <c r="B102">
        <v>1</v>
      </c>
      <c r="C102" t="s">
        <v>62</v>
      </c>
      <c r="D102" t="str">
        <f>HYPERLINK("http://www.ensembl.org/Cavia_porcellus/protview?peptide=ENSCPOP00000000461","P00000000461")</f>
        <v>P00000000461</v>
      </c>
      <c r="F102" s="2">
        <v>47.8</v>
      </c>
      <c r="G102" s="4">
        <v>368</v>
      </c>
      <c r="H102" s="4">
        <v>39038</v>
      </c>
      <c r="I102" t="s">
        <v>63</v>
      </c>
      <c r="J102" s="4">
        <v>39</v>
      </c>
      <c r="K102" s="4">
        <v>39</v>
      </c>
      <c r="L102" s="6">
        <v>1</v>
      </c>
      <c r="M102">
        <v>29</v>
      </c>
      <c r="N102">
        <v>10</v>
      </c>
      <c r="O102">
        <v>29</v>
      </c>
      <c r="P102">
        <v>10</v>
      </c>
      <c r="Q102" s="2">
        <v>29</v>
      </c>
      <c r="R102" s="2">
        <v>10</v>
      </c>
      <c r="S102" t="s">
        <v>17</v>
      </c>
    </row>
    <row r="103" spans="1:19" ht="12.75">
      <c r="A103">
        <v>160</v>
      </c>
      <c r="B103">
        <v>1</v>
      </c>
      <c r="C103" t="s">
        <v>379</v>
      </c>
      <c r="D103" t="str">
        <f>HYPERLINK("http://www.ensembl.org/Cavia_porcellus/protview?peptide=ENSCPOP00000014155","P00000014155")</f>
        <v>P00000014155</v>
      </c>
      <c r="F103" s="2">
        <v>13</v>
      </c>
      <c r="G103" s="4">
        <v>699</v>
      </c>
      <c r="H103" s="4">
        <v>77757</v>
      </c>
      <c r="I103" t="s">
        <v>380</v>
      </c>
      <c r="J103" s="4">
        <v>38</v>
      </c>
      <c r="K103" s="4">
        <v>38</v>
      </c>
      <c r="L103" s="6">
        <v>1</v>
      </c>
      <c r="M103">
        <v>16</v>
      </c>
      <c r="N103">
        <v>22</v>
      </c>
      <c r="O103">
        <v>16</v>
      </c>
      <c r="P103">
        <v>22</v>
      </c>
      <c r="Q103" s="2">
        <v>16</v>
      </c>
      <c r="R103" s="2">
        <v>22</v>
      </c>
      <c r="S103" t="s">
        <v>17</v>
      </c>
    </row>
    <row r="104" spans="1:19" ht="12.75">
      <c r="A104">
        <v>110</v>
      </c>
      <c r="B104">
        <v>1</v>
      </c>
      <c r="C104" t="s">
        <v>269</v>
      </c>
      <c r="D104" t="str">
        <f>HYPERLINK("http://www.ensembl.org/Cavia_porcellus/protview?peptide=ENSCPOP00000009701","P00000009701")</f>
        <v>P00000009701</v>
      </c>
      <c r="F104" s="2">
        <v>31.3</v>
      </c>
      <c r="G104" s="4">
        <v>246</v>
      </c>
      <c r="H104" s="4">
        <v>28213</v>
      </c>
      <c r="I104" t="s">
        <v>270</v>
      </c>
      <c r="J104" s="4">
        <v>38</v>
      </c>
      <c r="K104" s="4">
        <v>16</v>
      </c>
      <c r="L104" s="6">
        <v>0.421</v>
      </c>
      <c r="M104">
        <v>31</v>
      </c>
      <c r="N104">
        <v>7</v>
      </c>
      <c r="O104">
        <v>12</v>
      </c>
      <c r="P104">
        <v>4</v>
      </c>
      <c r="Q104" s="2">
        <v>14.714</v>
      </c>
      <c r="R104" s="2">
        <v>4.316</v>
      </c>
      <c r="S104" t="s">
        <v>225</v>
      </c>
    </row>
    <row r="105" spans="1:19" ht="12.75">
      <c r="A105">
        <v>151</v>
      </c>
      <c r="B105">
        <v>1</v>
      </c>
      <c r="C105" t="s">
        <v>360</v>
      </c>
      <c r="D105" t="str">
        <f>HYPERLINK("http://www.ensembl.org/Cavia_porcellus/protview?peptide=ENSCPOP00000012797","P00000012797")</f>
        <v>P00000012797</v>
      </c>
      <c r="F105" s="2">
        <v>33</v>
      </c>
      <c r="G105" s="4">
        <v>218</v>
      </c>
      <c r="H105" s="4">
        <v>25770</v>
      </c>
      <c r="I105" t="s">
        <v>361</v>
      </c>
      <c r="J105" s="4">
        <v>33</v>
      </c>
      <c r="K105" s="4">
        <v>6</v>
      </c>
      <c r="L105" s="6">
        <v>0.182</v>
      </c>
      <c r="M105">
        <v>18</v>
      </c>
      <c r="N105">
        <v>15</v>
      </c>
      <c r="O105">
        <v>3</v>
      </c>
      <c r="P105">
        <v>3</v>
      </c>
      <c r="Q105" s="2">
        <v>4.957</v>
      </c>
      <c r="R105" s="2">
        <v>4.8</v>
      </c>
      <c r="S105" t="s">
        <v>362</v>
      </c>
    </row>
    <row r="106" spans="1:19" ht="12.75">
      <c r="A106">
        <v>109</v>
      </c>
      <c r="B106">
        <v>1</v>
      </c>
      <c r="C106" t="s">
        <v>267</v>
      </c>
      <c r="D106" t="str">
        <f>HYPERLINK("http://www.ensembl.org/Cavia_porcellus/protview?peptide=ENSCPOP00000009655","P00000009655")</f>
        <v>P00000009655</v>
      </c>
      <c r="F106" s="2">
        <v>43.4</v>
      </c>
      <c r="G106" s="4">
        <v>334</v>
      </c>
      <c r="H106" s="4">
        <v>36416</v>
      </c>
      <c r="I106" t="s">
        <v>268</v>
      </c>
      <c r="J106" s="4">
        <v>32</v>
      </c>
      <c r="K106" s="4">
        <v>32</v>
      </c>
      <c r="L106" s="6">
        <v>1</v>
      </c>
      <c r="M106">
        <v>15</v>
      </c>
      <c r="N106">
        <v>17</v>
      </c>
      <c r="O106">
        <v>15</v>
      </c>
      <c r="P106">
        <v>17</v>
      </c>
      <c r="Q106" s="2">
        <v>15</v>
      </c>
      <c r="R106" s="2">
        <v>17</v>
      </c>
      <c r="S106" t="s">
        <v>17</v>
      </c>
    </row>
    <row r="107" spans="1:19" ht="12.75">
      <c r="A107">
        <v>159</v>
      </c>
      <c r="B107">
        <v>1</v>
      </c>
      <c r="C107" t="s">
        <v>377</v>
      </c>
      <c r="D107" t="str">
        <f>HYPERLINK("http://www.ensembl.org/Cavia_porcellus/protview?peptide=ENSCPOP00000013832","P00000013832")</f>
        <v>P00000013832</v>
      </c>
      <c r="F107" s="2">
        <v>28.8</v>
      </c>
      <c r="G107" s="4">
        <v>520</v>
      </c>
      <c r="H107" s="4">
        <v>56716</v>
      </c>
      <c r="I107" t="s">
        <v>378</v>
      </c>
      <c r="J107" s="4">
        <v>31</v>
      </c>
      <c r="K107" s="4">
        <v>22</v>
      </c>
      <c r="L107" s="6">
        <v>0.71</v>
      </c>
      <c r="M107">
        <v>21</v>
      </c>
      <c r="N107">
        <v>10</v>
      </c>
      <c r="O107">
        <v>13</v>
      </c>
      <c r="P107">
        <v>9</v>
      </c>
      <c r="Q107" s="2">
        <v>13.605</v>
      </c>
      <c r="R107" s="2">
        <v>9.076</v>
      </c>
      <c r="S107" t="s">
        <v>351</v>
      </c>
    </row>
    <row r="108" spans="1:19" ht="12.75">
      <c r="A108">
        <v>120</v>
      </c>
      <c r="B108">
        <v>1</v>
      </c>
      <c r="C108" t="s">
        <v>290</v>
      </c>
      <c r="D108" t="str">
        <f>HYPERLINK("http://www.ensembl.org/Cavia_porcellus/protview?peptide=ENSCPOP00000010441","P00000010441")</f>
        <v>P00000010441</v>
      </c>
      <c r="F108" s="2">
        <v>7.4</v>
      </c>
      <c r="G108" s="4">
        <v>1741</v>
      </c>
      <c r="H108" s="4">
        <v>202253</v>
      </c>
      <c r="I108" t="s">
        <v>291</v>
      </c>
      <c r="J108" s="4">
        <v>31</v>
      </c>
      <c r="K108" s="4">
        <v>31</v>
      </c>
      <c r="L108" s="6">
        <v>1</v>
      </c>
      <c r="M108">
        <v>13</v>
      </c>
      <c r="N108">
        <v>18</v>
      </c>
      <c r="O108">
        <v>13</v>
      </c>
      <c r="P108">
        <v>18</v>
      </c>
      <c r="Q108" s="2">
        <v>13</v>
      </c>
      <c r="R108" s="2">
        <v>18</v>
      </c>
      <c r="S108" t="s">
        <v>17</v>
      </c>
    </row>
    <row r="109" spans="1:19" ht="12.75">
      <c r="A109">
        <v>47</v>
      </c>
      <c r="B109">
        <v>1</v>
      </c>
      <c r="C109" t="s">
        <v>130</v>
      </c>
      <c r="D109" t="str">
        <f>HYPERLINK("http://www.ensembl.org/Cavia_porcellus/protview?peptide=ENSCPOP00000003669","P00000003669")</f>
        <v>P00000003669</v>
      </c>
      <c r="F109" s="2">
        <v>25.8</v>
      </c>
      <c r="G109" s="4">
        <v>462</v>
      </c>
      <c r="H109" s="4">
        <v>50142</v>
      </c>
      <c r="I109" t="s">
        <v>131</v>
      </c>
      <c r="J109" s="4">
        <v>30</v>
      </c>
      <c r="K109" s="4">
        <v>30</v>
      </c>
      <c r="L109" s="6">
        <v>1</v>
      </c>
      <c r="M109">
        <v>10</v>
      </c>
      <c r="N109">
        <v>20</v>
      </c>
      <c r="O109">
        <v>10</v>
      </c>
      <c r="P109">
        <v>20</v>
      </c>
      <c r="Q109" s="2">
        <v>10</v>
      </c>
      <c r="R109" s="2">
        <v>20</v>
      </c>
      <c r="S109" t="s">
        <v>17</v>
      </c>
    </row>
    <row r="110" spans="1:19" ht="12.75">
      <c r="A110">
        <v>89</v>
      </c>
      <c r="B110">
        <v>1</v>
      </c>
      <c r="C110" t="s">
        <v>221</v>
      </c>
      <c r="D110" t="str">
        <f>HYPERLINK("http://www.ensembl.org/Cavia_porcellus/protview?peptide=ENSCPOP00000007161","P00000007161")</f>
        <v>P00000007161</v>
      </c>
      <c r="F110" s="2">
        <v>7.2</v>
      </c>
      <c r="G110" s="4">
        <v>4636</v>
      </c>
      <c r="H110" s="4">
        <v>528930</v>
      </c>
      <c r="I110" t="s">
        <v>222</v>
      </c>
      <c r="J110" s="4">
        <v>29</v>
      </c>
      <c r="K110" s="4">
        <v>29</v>
      </c>
      <c r="L110" s="6">
        <v>1</v>
      </c>
      <c r="M110">
        <v>19</v>
      </c>
      <c r="N110">
        <v>10</v>
      </c>
      <c r="O110">
        <v>19</v>
      </c>
      <c r="P110">
        <v>10</v>
      </c>
      <c r="Q110" s="2">
        <v>19</v>
      </c>
      <c r="R110" s="2">
        <v>10</v>
      </c>
      <c r="S110" t="s">
        <v>17</v>
      </c>
    </row>
    <row r="111" spans="1:19" ht="12.75">
      <c r="A111">
        <v>23</v>
      </c>
      <c r="B111">
        <v>1</v>
      </c>
      <c r="C111" t="s">
        <v>74</v>
      </c>
      <c r="D111" t="str">
        <f>HYPERLINK("http://www.ensembl.org/Cavia_porcellus/protview?peptide=ENSCPOP00000001508","P00000001508")</f>
        <v>P00000001508</v>
      </c>
      <c r="F111" s="2">
        <v>32.8</v>
      </c>
      <c r="G111" s="4">
        <v>402</v>
      </c>
      <c r="H111" s="4">
        <v>41687</v>
      </c>
      <c r="I111" t="s">
        <v>75</v>
      </c>
      <c r="J111" s="4">
        <v>27</v>
      </c>
      <c r="K111" s="4">
        <v>27</v>
      </c>
      <c r="L111" s="6">
        <v>1</v>
      </c>
      <c r="M111">
        <v>12</v>
      </c>
      <c r="N111">
        <v>15</v>
      </c>
      <c r="O111">
        <v>12</v>
      </c>
      <c r="P111">
        <v>15</v>
      </c>
      <c r="Q111" s="2">
        <v>12</v>
      </c>
      <c r="R111" s="2">
        <v>15</v>
      </c>
      <c r="S111" t="s">
        <v>17</v>
      </c>
    </row>
    <row r="112" spans="1:19" ht="12.75">
      <c r="A112">
        <v>118</v>
      </c>
      <c r="B112">
        <v>1</v>
      </c>
      <c r="C112" t="s">
        <v>286</v>
      </c>
      <c r="D112" t="str">
        <f>HYPERLINK("http://www.ensembl.org/Cavia_porcellus/protview?peptide=ENSCPOP00000010178","P00000010178")</f>
        <v>P00000010178</v>
      </c>
      <c r="F112" s="2">
        <v>31.8</v>
      </c>
      <c r="G112" s="4">
        <v>236</v>
      </c>
      <c r="H112" s="4">
        <v>26796</v>
      </c>
      <c r="I112" t="s">
        <v>287</v>
      </c>
      <c r="J112" s="4">
        <v>27</v>
      </c>
      <c r="K112" s="4">
        <v>4</v>
      </c>
      <c r="L112" s="6">
        <v>0.148</v>
      </c>
      <c r="M112">
        <v>23</v>
      </c>
      <c r="N112">
        <v>4</v>
      </c>
      <c r="O112">
        <v>3</v>
      </c>
      <c r="P112">
        <v>1</v>
      </c>
      <c r="Q112" s="2">
        <v>4.179</v>
      </c>
      <c r="R112" s="2">
        <v>1.079</v>
      </c>
      <c r="S112" t="s">
        <v>225</v>
      </c>
    </row>
    <row r="113" spans="1:19" ht="12.75">
      <c r="A113">
        <v>199</v>
      </c>
      <c r="B113">
        <v>1</v>
      </c>
      <c r="C113" t="s">
        <v>468</v>
      </c>
      <c r="D113" t="str">
        <f>HYPERLINK("http://www.ensembl.org/Cavia_porcellus/protview?peptide=ENSCPOP00000020366","P00000020366")</f>
        <v>P00000020366</v>
      </c>
      <c r="F113" s="2">
        <v>32.9</v>
      </c>
      <c r="G113" s="4">
        <v>246</v>
      </c>
      <c r="H113" s="4">
        <v>28083</v>
      </c>
      <c r="I113" t="s">
        <v>469</v>
      </c>
      <c r="J113" s="4">
        <v>26</v>
      </c>
      <c r="K113" s="4">
        <v>3</v>
      </c>
      <c r="L113" s="6">
        <v>0.115</v>
      </c>
      <c r="M113">
        <v>23</v>
      </c>
      <c r="N113">
        <v>3</v>
      </c>
      <c r="O113">
        <v>3</v>
      </c>
      <c r="P113">
        <v>0</v>
      </c>
      <c r="Q113" s="2">
        <v>4.179</v>
      </c>
      <c r="R113" s="2">
        <v>0</v>
      </c>
      <c r="S113" t="s">
        <v>225</v>
      </c>
    </row>
    <row r="114" spans="1:19" ht="12.75">
      <c r="A114">
        <v>142</v>
      </c>
      <c r="B114">
        <v>1</v>
      </c>
      <c r="C114" t="s">
        <v>341</v>
      </c>
      <c r="D114" t="str">
        <f>HYPERLINK("http://www.ensembl.org/Cavia_porcellus/protview?peptide=ENSCPOP00000012235","P00000012235")</f>
        <v>P00000012235</v>
      </c>
      <c r="F114" s="2">
        <v>43.9</v>
      </c>
      <c r="G114" s="4">
        <v>237</v>
      </c>
      <c r="H114" s="4">
        <v>26720</v>
      </c>
      <c r="I114" t="s">
        <v>342</v>
      </c>
      <c r="J114" s="4">
        <v>24</v>
      </c>
      <c r="K114" s="4">
        <v>24</v>
      </c>
      <c r="L114" s="6">
        <v>1</v>
      </c>
      <c r="M114">
        <v>10</v>
      </c>
      <c r="N114">
        <v>14</v>
      </c>
      <c r="O114">
        <v>10</v>
      </c>
      <c r="P114">
        <v>14</v>
      </c>
      <c r="Q114" s="2">
        <v>10</v>
      </c>
      <c r="R114" s="2">
        <v>14</v>
      </c>
      <c r="S114" t="s">
        <v>17</v>
      </c>
    </row>
    <row r="115" spans="1:19" ht="12.75">
      <c r="A115">
        <v>9</v>
      </c>
      <c r="B115">
        <v>1</v>
      </c>
      <c r="C115" t="s">
        <v>40</v>
      </c>
      <c r="D115" t="s">
        <v>17</v>
      </c>
      <c r="E115" t="s">
        <v>18</v>
      </c>
      <c r="F115" s="2">
        <v>20.5</v>
      </c>
      <c r="G115" s="4">
        <v>493</v>
      </c>
      <c r="H115" s="4">
        <v>52790</v>
      </c>
      <c r="I115" t="s">
        <v>41</v>
      </c>
      <c r="J115" s="4">
        <v>23</v>
      </c>
      <c r="K115" s="4">
        <v>2</v>
      </c>
      <c r="L115" s="6">
        <v>0.087</v>
      </c>
      <c r="M115">
        <v>13</v>
      </c>
      <c r="N115">
        <v>10</v>
      </c>
      <c r="O115">
        <v>1</v>
      </c>
      <c r="P115">
        <v>1</v>
      </c>
      <c r="Q115" s="2">
        <v>2.478</v>
      </c>
      <c r="R115" s="2">
        <v>1.809</v>
      </c>
      <c r="S115" t="s">
        <v>32</v>
      </c>
    </row>
    <row r="116" spans="1:19" ht="12.75">
      <c r="A116">
        <v>7</v>
      </c>
      <c r="B116">
        <v>1</v>
      </c>
      <c r="C116" t="s">
        <v>36</v>
      </c>
      <c r="D116" t="s">
        <v>17</v>
      </c>
      <c r="E116" t="s">
        <v>18</v>
      </c>
      <c r="F116" s="2">
        <v>33.9</v>
      </c>
      <c r="G116" s="4">
        <v>623</v>
      </c>
      <c r="H116" s="4">
        <v>62130</v>
      </c>
      <c r="I116" t="s">
        <v>37</v>
      </c>
      <c r="J116" s="4">
        <v>22</v>
      </c>
      <c r="K116" s="4">
        <v>22</v>
      </c>
      <c r="L116" s="6">
        <v>1</v>
      </c>
      <c r="M116">
        <v>14</v>
      </c>
      <c r="N116">
        <v>8</v>
      </c>
      <c r="O116">
        <v>14</v>
      </c>
      <c r="P116">
        <v>8</v>
      </c>
      <c r="Q116" s="2">
        <v>14</v>
      </c>
      <c r="R116" s="2">
        <v>8</v>
      </c>
      <c r="S116" t="s">
        <v>17</v>
      </c>
    </row>
    <row r="117" spans="1:19" ht="12.75">
      <c r="A117">
        <v>197</v>
      </c>
      <c r="B117">
        <v>1</v>
      </c>
      <c r="C117" t="s">
        <v>464</v>
      </c>
      <c r="D117" t="str">
        <f>HYPERLINK("http://www.ensembl.org/Cavia_porcellus/protview?peptide=ENSCPOP00000020281","P00000020281")</f>
        <v>P00000020281</v>
      </c>
      <c r="F117" s="2">
        <v>21</v>
      </c>
      <c r="G117" s="4">
        <v>753</v>
      </c>
      <c r="H117" s="4">
        <v>82484</v>
      </c>
      <c r="I117" t="s">
        <v>465</v>
      </c>
      <c r="J117" s="4">
        <v>22</v>
      </c>
      <c r="K117" s="4">
        <v>22</v>
      </c>
      <c r="L117" s="6">
        <v>1</v>
      </c>
      <c r="M117">
        <v>13</v>
      </c>
      <c r="N117">
        <v>9</v>
      </c>
      <c r="O117">
        <v>13</v>
      </c>
      <c r="P117">
        <v>9</v>
      </c>
      <c r="Q117" s="2">
        <v>13</v>
      </c>
      <c r="R117" s="2">
        <v>9</v>
      </c>
      <c r="S117" t="s">
        <v>17</v>
      </c>
    </row>
    <row r="118" spans="1:19" ht="12.75">
      <c r="A118">
        <v>27</v>
      </c>
      <c r="B118">
        <v>1</v>
      </c>
      <c r="C118" t="s">
        <v>82</v>
      </c>
      <c r="D118" t="str">
        <f>HYPERLINK("http://www.ensembl.org/Cavia_porcellus/protview?peptide=ENSCPOP00000001766","P00000001766")</f>
        <v>P00000001766</v>
      </c>
      <c r="F118" s="2">
        <v>3.4</v>
      </c>
      <c r="G118" s="4">
        <v>998</v>
      </c>
      <c r="H118" s="4">
        <v>109038</v>
      </c>
      <c r="I118" t="s">
        <v>83</v>
      </c>
      <c r="J118" s="4">
        <v>22</v>
      </c>
      <c r="K118" s="4">
        <v>22</v>
      </c>
      <c r="L118" s="6">
        <v>1</v>
      </c>
      <c r="M118">
        <v>12</v>
      </c>
      <c r="N118">
        <v>10</v>
      </c>
      <c r="O118">
        <v>12</v>
      </c>
      <c r="P118">
        <v>10</v>
      </c>
      <c r="Q118" s="2">
        <v>12</v>
      </c>
      <c r="R118" s="2">
        <v>10</v>
      </c>
      <c r="S118" t="s">
        <v>17</v>
      </c>
    </row>
    <row r="119" spans="1:19" ht="12.75">
      <c r="A119">
        <v>48</v>
      </c>
      <c r="B119">
        <v>1</v>
      </c>
      <c r="C119" t="s">
        <v>132</v>
      </c>
      <c r="D119" t="str">
        <f>HYPERLINK("http://www.ensembl.org/Cavia_porcellus/protview?peptide=ENSCPOP00000003676","P00000003676")</f>
        <v>P00000003676</v>
      </c>
      <c r="F119" s="2">
        <v>4.5</v>
      </c>
      <c r="G119" s="4">
        <v>4648</v>
      </c>
      <c r="H119" s="4">
        <v>532211</v>
      </c>
      <c r="I119" t="s">
        <v>133</v>
      </c>
      <c r="J119" s="4">
        <v>22</v>
      </c>
      <c r="K119" s="4">
        <v>22</v>
      </c>
      <c r="L119" s="6">
        <v>1</v>
      </c>
      <c r="M119">
        <v>11</v>
      </c>
      <c r="N119">
        <v>11</v>
      </c>
      <c r="O119">
        <v>11</v>
      </c>
      <c r="P119">
        <v>11</v>
      </c>
      <c r="Q119" s="2">
        <v>11</v>
      </c>
      <c r="R119" s="2">
        <v>11</v>
      </c>
      <c r="S119" t="s">
        <v>17</v>
      </c>
    </row>
    <row r="120" spans="1:19" ht="12.75">
      <c r="A120">
        <v>205</v>
      </c>
      <c r="B120">
        <v>1</v>
      </c>
      <c r="C120" t="s">
        <v>481</v>
      </c>
      <c r="D120" t="s">
        <v>17</v>
      </c>
      <c r="E120" t="s">
        <v>477</v>
      </c>
      <c r="F120" s="2">
        <v>3.4</v>
      </c>
      <c r="G120" s="4">
        <v>2645</v>
      </c>
      <c r="H120" s="4">
        <v>280752</v>
      </c>
      <c r="I120" t="s">
        <v>478</v>
      </c>
      <c r="J120" s="4">
        <v>21</v>
      </c>
      <c r="K120" s="4">
        <v>21</v>
      </c>
      <c r="L120" s="6">
        <v>1</v>
      </c>
      <c r="M120">
        <v>12</v>
      </c>
      <c r="N120">
        <v>9</v>
      </c>
      <c r="O120">
        <v>12</v>
      </c>
      <c r="P120">
        <v>9</v>
      </c>
      <c r="Q120" s="2">
        <v>12</v>
      </c>
      <c r="R120" s="2">
        <v>9</v>
      </c>
      <c r="S120" t="s">
        <v>17</v>
      </c>
    </row>
    <row r="121" spans="1:19" ht="12.75">
      <c r="A121">
        <v>137</v>
      </c>
      <c r="B121">
        <v>1</v>
      </c>
      <c r="C121" t="s">
        <v>331</v>
      </c>
      <c r="D121" t="str">
        <f>HYPERLINK("http://www.ensembl.org/Cavia_porcellus/protview?peptide=ENSCPOP00000011810","P00000011810")</f>
        <v>P00000011810</v>
      </c>
      <c r="F121" s="2">
        <v>24.9</v>
      </c>
      <c r="G121" s="4">
        <v>511</v>
      </c>
      <c r="H121" s="4">
        <v>55292</v>
      </c>
      <c r="I121" t="s">
        <v>332</v>
      </c>
      <c r="J121" s="4">
        <v>20</v>
      </c>
      <c r="K121" s="4">
        <v>20</v>
      </c>
      <c r="L121" s="6">
        <v>1</v>
      </c>
      <c r="M121">
        <v>12</v>
      </c>
      <c r="N121">
        <v>8</v>
      </c>
      <c r="O121">
        <v>12</v>
      </c>
      <c r="P121">
        <v>8</v>
      </c>
      <c r="Q121" s="2">
        <v>12</v>
      </c>
      <c r="R121" s="2">
        <v>8</v>
      </c>
      <c r="S121" t="s">
        <v>17</v>
      </c>
    </row>
    <row r="122" spans="1:19" ht="12.75">
      <c r="A122">
        <v>149</v>
      </c>
      <c r="B122">
        <v>1</v>
      </c>
      <c r="C122" t="s">
        <v>356</v>
      </c>
      <c r="D122" t="str">
        <f>HYPERLINK("http://www.ensembl.org/Cavia_porcellus/protview?peptide=ENSCPOP00000012735","P00000012735")</f>
        <v>P00000012735</v>
      </c>
      <c r="F122" s="2">
        <v>53.5</v>
      </c>
      <c r="G122" s="4">
        <v>202</v>
      </c>
      <c r="H122" s="4">
        <v>22470</v>
      </c>
      <c r="I122" t="s">
        <v>357</v>
      </c>
      <c r="J122" s="4">
        <v>20</v>
      </c>
      <c r="K122" s="4">
        <v>20</v>
      </c>
      <c r="L122" s="6">
        <v>1</v>
      </c>
      <c r="M122">
        <v>10</v>
      </c>
      <c r="N122">
        <v>10</v>
      </c>
      <c r="O122">
        <v>10</v>
      </c>
      <c r="P122">
        <v>10</v>
      </c>
      <c r="Q122" s="2">
        <v>10</v>
      </c>
      <c r="R122" s="2">
        <v>10</v>
      </c>
      <c r="S122" t="s">
        <v>17</v>
      </c>
    </row>
    <row r="123" spans="1:19" ht="12.75">
      <c r="A123">
        <v>86</v>
      </c>
      <c r="B123">
        <v>1</v>
      </c>
      <c r="C123" t="s">
        <v>214</v>
      </c>
      <c r="D123" t="str">
        <f>HYPERLINK("http://www.ensembl.org/Cavia_porcellus/protview?peptide=ENSCPOP00000006957","P00000006957")</f>
        <v>P00000006957</v>
      </c>
      <c r="F123" s="2">
        <v>26.7</v>
      </c>
      <c r="G123" s="4">
        <v>561</v>
      </c>
      <c r="H123" s="4">
        <v>59729</v>
      </c>
      <c r="I123" t="s">
        <v>215</v>
      </c>
      <c r="J123" s="4">
        <v>20</v>
      </c>
      <c r="K123" s="4">
        <v>5</v>
      </c>
      <c r="L123" s="6">
        <v>0.25</v>
      </c>
      <c r="M123">
        <v>8</v>
      </c>
      <c r="N123">
        <v>12</v>
      </c>
      <c r="O123">
        <v>1</v>
      </c>
      <c r="P123">
        <v>4</v>
      </c>
      <c r="Q123" s="2">
        <v>1.684</v>
      </c>
      <c r="R123" s="2">
        <v>6.443</v>
      </c>
      <c r="S123" t="s">
        <v>32</v>
      </c>
    </row>
    <row r="124" spans="1:19" ht="12.75">
      <c r="A124">
        <v>155</v>
      </c>
      <c r="B124">
        <v>1</v>
      </c>
      <c r="C124" t="s">
        <v>369</v>
      </c>
      <c r="D124" t="str">
        <f>HYPERLINK("http://www.ensembl.org/Cavia_porcellus/protview?peptide=ENSCPOP00000013280","P00000013280")</f>
        <v>P00000013280</v>
      </c>
      <c r="F124" s="2">
        <v>28</v>
      </c>
      <c r="G124" s="4">
        <v>432</v>
      </c>
      <c r="H124" s="4">
        <v>47436</v>
      </c>
      <c r="I124" t="s">
        <v>370</v>
      </c>
      <c r="J124" s="4">
        <v>19</v>
      </c>
      <c r="K124" s="4">
        <v>19</v>
      </c>
      <c r="L124" s="6">
        <v>1</v>
      </c>
      <c r="M124">
        <v>12</v>
      </c>
      <c r="N124">
        <v>7</v>
      </c>
      <c r="O124">
        <v>12</v>
      </c>
      <c r="P124">
        <v>7</v>
      </c>
      <c r="Q124" s="2">
        <v>12</v>
      </c>
      <c r="R124" s="2">
        <v>7</v>
      </c>
      <c r="S124" t="s">
        <v>17</v>
      </c>
    </row>
    <row r="125" spans="1:19" ht="12.75">
      <c r="A125">
        <v>10</v>
      </c>
      <c r="B125">
        <v>1</v>
      </c>
      <c r="C125" t="s">
        <v>42</v>
      </c>
      <c r="D125" t="s">
        <v>17</v>
      </c>
      <c r="E125" t="s">
        <v>18</v>
      </c>
      <c r="F125" s="2">
        <v>23.8</v>
      </c>
      <c r="G125" s="4">
        <v>593</v>
      </c>
      <c r="H125" s="4">
        <v>59529</v>
      </c>
      <c r="I125" t="s">
        <v>43</v>
      </c>
      <c r="J125" s="4">
        <v>19</v>
      </c>
      <c r="K125" s="4">
        <v>19</v>
      </c>
      <c r="L125" s="6">
        <v>1</v>
      </c>
      <c r="M125">
        <v>10</v>
      </c>
      <c r="N125">
        <v>9</v>
      </c>
      <c r="O125">
        <v>10</v>
      </c>
      <c r="P125">
        <v>9</v>
      </c>
      <c r="Q125" s="2">
        <v>10</v>
      </c>
      <c r="R125" s="2">
        <v>9</v>
      </c>
      <c r="S125" t="s">
        <v>17</v>
      </c>
    </row>
    <row r="126" spans="1:19" ht="12.75">
      <c r="A126">
        <v>10.01</v>
      </c>
      <c r="B126">
        <v>1</v>
      </c>
      <c r="C126" t="s">
        <v>44</v>
      </c>
      <c r="D126" t="s">
        <v>17</v>
      </c>
      <c r="E126" t="s">
        <v>34</v>
      </c>
      <c r="F126" s="2">
        <v>23.8</v>
      </c>
      <c r="G126" s="4">
        <v>593</v>
      </c>
      <c r="H126" s="4">
        <v>59520</v>
      </c>
      <c r="I126" t="s">
        <v>45</v>
      </c>
      <c r="J126" s="4">
        <v>19</v>
      </c>
      <c r="K126" s="4">
        <v>19</v>
      </c>
      <c r="L126" s="6">
        <v>1</v>
      </c>
      <c r="M126">
        <v>10</v>
      </c>
      <c r="N126">
        <v>9</v>
      </c>
      <c r="O126">
        <v>10</v>
      </c>
      <c r="P126">
        <v>9</v>
      </c>
      <c r="Q126" s="2">
        <v>10</v>
      </c>
      <c r="R126" s="2">
        <v>9</v>
      </c>
      <c r="S126" t="s">
        <v>17</v>
      </c>
    </row>
    <row r="127" spans="1:19" ht="12.75">
      <c r="A127">
        <v>56</v>
      </c>
      <c r="B127">
        <v>1</v>
      </c>
      <c r="C127" t="s">
        <v>148</v>
      </c>
      <c r="D127" t="str">
        <f>HYPERLINK("http://www.ensembl.org/Cavia_porcellus/protview?peptide=ENSCPOP00000004382","P00000004382")</f>
        <v>P00000004382</v>
      </c>
      <c r="F127" s="2">
        <v>26.1</v>
      </c>
      <c r="G127" s="4">
        <v>601</v>
      </c>
      <c r="H127" s="4">
        <v>65538</v>
      </c>
      <c r="I127" t="s">
        <v>149</v>
      </c>
      <c r="J127" s="4">
        <v>19</v>
      </c>
      <c r="K127" s="4">
        <v>19</v>
      </c>
      <c r="L127" s="6">
        <v>1</v>
      </c>
      <c r="M127">
        <v>9</v>
      </c>
      <c r="N127">
        <v>10</v>
      </c>
      <c r="O127">
        <v>9</v>
      </c>
      <c r="P127">
        <v>10</v>
      </c>
      <c r="Q127" s="2">
        <v>9</v>
      </c>
      <c r="R127" s="2">
        <v>10</v>
      </c>
      <c r="S127" t="s">
        <v>17</v>
      </c>
    </row>
    <row r="128" spans="1:19" ht="12.75">
      <c r="A128">
        <v>46</v>
      </c>
      <c r="B128">
        <v>1</v>
      </c>
      <c r="C128" t="s">
        <v>128</v>
      </c>
      <c r="D128" t="str">
        <f>HYPERLINK("http://www.ensembl.org/Cavia_porcellus/protview?peptide=ENSCPOP00000003507","P00000003507")</f>
        <v>P00000003507</v>
      </c>
      <c r="F128" s="2">
        <v>14.2</v>
      </c>
      <c r="G128" s="4">
        <v>696</v>
      </c>
      <c r="H128" s="4">
        <v>79554</v>
      </c>
      <c r="I128" t="s">
        <v>129</v>
      </c>
      <c r="J128" s="4">
        <v>19</v>
      </c>
      <c r="K128" s="4">
        <v>7</v>
      </c>
      <c r="L128" s="6">
        <v>0.368</v>
      </c>
      <c r="M128">
        <v>12</v>
      </c>
      <c r="N128">
        <v>7</v>
      </c>
      <c r="O128">
        <v>5</v>
      </c>
      <c r="P128">
        <v>2</v>
      </c>
      <c r="Q128" s="2">
        <v>6.167</v>
      </c>
      <c r="R128" s="2">
        <v>2.769</v>
      </c>
      <c r="S128" t="s">
        <v>86</v>
      </c>
    </row>
    <row r="129" spans="1:19" ht="12.75">
      <c r="A129">
        <v>115</v>
      </c>
      <c r="B129">
        <v>1</v>
      </c>
      <c r="C129" t="s">
        <v>279</v>
      </c>
      <c r="D129" t="str">
        <f>HYPERLINK("http://www.ensembl.org/Cavia_porcellus/protview?peptide=ENSCPOP00000009972","P00000009972")</f>
        <v>P00000009972</v>
      </c>
      <c r="F129" s="2">
        <v>42.3</v>
      </c>
      <c r="G129" s="4">
        <v>227</v>
      </c>
      <c r="H129" s="4">
        <v>25235</v>
      </c>
      <c r="I129" t="s">
        <v>280</v>
      </c>
      <c r="J129" s="4">
        <v>18</v>
      </c>
      <c r="K129" s="4">
        <v>18</v>
      </c>
      <c r="L129" s="6">
        <v>1</v>
      </c>
      <c r="M129">
        <v>15</v>
      </c>
      <c r="N129">
        <v>3</v>
      </c>
      <c r="O129">
        <v>15</v>
      </c>
      <c r="P129">
        <v>3</v>
      </c>
      <c r="Q129" s="2">
        <v>15</v>
      </c>
      <c r="R129" s="2">
        <v>3</v>
      </c>
      <c r="S129" t="s">
        <v>17</v>
      </c>
    </row>
    <row r="130" spans="1:19" ht="12.75">
      <c r="A130">
        <v>77</v>
      </c>
      <c r="B130">
        <v>1</v>
      </c>
      <c r="C130" t="s">
        <v>193</v>
      </c>
      <c r="D130" t="str">
        <f>HYPERLINK("http://www.ensembl.org/Cavia_porcellus/protview?peptide=ENSCPOP00000006005","P00000006005")</f>
        <v>P00000006005</v>
      </c>
      <c r="F130" s="2">
        <v>31.2</v>
      </c>
      <c r="G130" s="4">
        <v>253</v>
      </c>
      <c r="H130" s="4">
        <v>28751</v>
      </c>
      <c r="I130" t="s">
        <v>194</v>
      </c>
      <c r="J130" s="4">
        <v>18</v>
      </c>
      <c r="K130" s="4">
        <v>14</v>
      </c>
      <c r="L130" s="6">
        <v>0.778</v>
      </c>
      <c r="M130">
        <v>13</v>
      </c>
      <c r="N130">
        <v>5</v>
      </c>
      <c r="O130">
        <v>9</v>
      </c>
      <c r="P130">
        <v>5</v>
      </c>
      <c r="Q130" s="2">
        <v>11.571</v>
      </c>
      <c r="R130" s="2">
        <v>5</v>
      </c>
      <c r="S130" t="s">
        <v>195</v>
      </c>
    </row>
    <row r="131" spans="1:19" ht="12.75">
      <c r="A131">
        <v>6</v>
      </c>
      <c r="B131">
        <v>1</v>
      </c>
      <c r="C131" t="s">
        <v>30</v>
      </c>
      <c r="D131" t="s">
        <v>17</v>
      </c>
      <c r="E131" t="s">
        <v>18</v>
      </c>
      <c r="F131" s="2">
        <v>21.4</v>
      </c>
      <c r="G131" s="4">
        <v>645</v>
      </c>
      <c r="H131" s="4">
        <v>65912</v>
      </c>
      <c r="I131" t="s">
        <v>31</v>
      </c>
      <c r="J131" s="4">
        <v>18</v>
      </c>
      <c r="K131" s="4">
        <v>11</v>
      </c>
      <c r="L131" s="6">
        <v>0.611</v>
      </c>
      <c r="M131">
        <v>13</v>
      </c>
      <c r="N131">
        <v>5</v>
      </c>
      <c r="O131">
        <v>9</v>
      </c>
      <c r="P131">
        <v>2</v>
      </c>
      <c r="Q131" s="2">
        <v>11.217</v>
      </c>
      <c r="R131" s="2">
        <v>2.468</v>
      </c>
      <c r="S131" t="s">
        <v>32</v>
      </c>
    </row>
    <row r="132" spans="1:19" ht="12.75">
      <c r="A132">
        <v>6.01</v>
      </c>
      <c r="B132">
        <v>1</v>
      </c>
      <c r="C132" t="s">
        <v>33</v>
      </c>
      <c r="D132" t="s">
        <v>17</v>
      </c>
      <c r="E132" t="s">
        <v>34</v>
      </c>
      <c r="F132" s="2">
        <v>21.4</v>
      </c>
      <c r="G132" s="4">
        <v>645</v>
      </c>
      <c r="H132" s="4">
        <v>65866</v>
      </c>
      <c r="I132" t="s">
        <v>35</v>
      </c>
      <c r="J132" s="4">
        <v>18</v>
      </c>
      <c r="K132" s="4">
        <v>11</v>
      </c>
      <c r="L132" s="6">
        <v>0.611</v>
      </c>
      <c r="M132">
        <v>13</v>
      </c>
      <c r="N132">
        <v>5</v>
      </c>
      <c r="O132">
        <v>9</v>
      </c>
      <c r="P132">
        <v>2</v>
      </c>
      <c r="Q132" s="2">
        <v>11.217</v>
      </c>
      <c r="R132" s="2">
        <v>2.468</v>
      </c>
      <c r="S132" t="s">
        <v>32</v>
      </c>
    </row>
    <row r="133" spans="1:19" ht="12.75">
      <c r="A133">
        <v>20</v>
      </c>
      <c r="B133">
        <v>1</v>
      </c>
      <c r="C133" t="s">
        <v>68</v>
      </c>
      <c r="D133" t="str">
        <f>HYPERLINK("http://www.ensembl.org/Cavia_porcellus/protview?peptide=ENSCPOP00000001144","P00000001144")</f>
        <v>P00000001144</v>
      </c>
      <c r="F133" s="2">
        <v>46.5</v>
      </c>
      <c r="G133" s="4">
        <v>187</v>
      </c>
      <c r="H133" s="4">
        <v>20664</v>
      </c>
      <c r="I133" t="s">
        <v>69</v>
      </c>
      <c r="J133" s="4">
        <v>18</v>
      </c>
      <c r="K133" s="4">
        <v>18</v>
      </c>
      <c r="L133" s="6">
        <v>1</v>
      </c>
      <c r="M133">
        <v>11</v>
      </c>
      <c r="N133">
        <v>7</v>
      </c>
      <c r="O133">
        <v>11</v>
      </c>
      <c r="P133">
        <v>7</v>
      </c>
      <c r="Q133" s="2">
        <v>11</v>
      </c>
      <c r="R133" s="2">
        <v>7</v>
      </c>
      <c r="S133" t="s">
        <v>17</v>
      </c>
    </row>
    <row r="134" spans="1:19" ht="12.75">
      <c r="A134">
        <v>203</v>
      </c>
      <c r="B134">
        <v>1</v>
      </c>
      <c r="C134" t="s">
        <v>479</v>
      </c>
      <c r="D134" t="s">
        <v>17</v>
      </c>
      <c r="E134" t="s">
        <v>477</v>
      </c>
      <c r="F134" s="2">
        <v>8.3</v>
      </c>
      <c r="G134" s="4">
        <v>541</v>
      </c>
      <c r="H134" s="4">
        <v>59616</v>
      </c>
      <c r="I134" t="s">
        <v>478</v>
      </c>
      <c r="J134" s="4">
        <v>18</v>
      </c>
      <c r="K134" s="4">
        <v>18</v>
      </c>
      <c r="L134" s="6">
        <v>1</v>
      </c>
      <c r="M134">
        <v>11</v>
      </c>
      <c r="N134">
        <v>7</v>
      </c>
      <c r="O134">
        <v>11</v>
      </c>
      <c r="P134">
        <v>7</v>
      </c>
      <c r="Q134" s="2">
        <v>11</v>
      </c>
      <c r="R134" s="2">
        <v>7</v>
      </c>
      <c r="S134" t="s">
        <v>17</v>
      </c>
    </row>
    <row r="135" spans="1:19" ht="12.75">
      <c r="A135">
        <v>26</v>
      </c>
      <c r="B135">
        <v>1</v>
      </c>
      <c r="C135" t="s">
        <v>80</v>
      </c>
      <c r="D135" t="str">
        <f>HYPERLINK("http://www.ensembl.org/Cavia_porcellus/protview?peptide=ENSCPOP00000001717","P00000001717")</f>
        <v>P00000001717</v>
      </c>
      <c r="F135" s="2">
        <v>27.2</v>
      </c>
      <c r="G135" s="4">
        <v>327</v>
      </c>
      <c r="H135" s="4">
        <v>36301</v>
      </c>
      <c r="I135" t="s">
        <v>81</v>
      </c>
      <c r="J135" s="4">
        <v>18</v>
      </c>
      <c r="K135" s="4">
        <v>18</v>
      </c>
      <c r="L135" s="6">
        <v>1</v>
      </c>
      <c r="M135">
        <v>10</v>
      </c>
      <c r="N135">
        <v>8</v>
      </c>
      <c r="O135">
        <v>10</v>
      </c>
      <c r="P135">
        <v>8</v>
      </c>
      <c r="Q135" s="2">
        <v>10</v>
      </c>
      <c r="R135" s="2">
        <v>8</v>
      </c>
      <c r="S135" t="s">
        <v>17</v>
      </c>
    </row>
    <row r="136" spans="1:19" ht="12.75">
      <c r="A136">
        <v>52</v>
      </c>
      <c r="B136">
        <v>1</v>
      </c>
      <c r="C136" t="s">
        <v>140</v>
      </c>
      <c r="D136" t="str">
        <f>HYPERLINK("http://www.ensembl.org/Cavia_porcellus/protview?peptide=ENSCPOP00000003884","P00000003884")</f>
        <v>P00000003884</v>
      </c>
      <c r="F136" s="2">
        <v>14.4</v>
      </c>
      <c r="G136" s="4">
        <v>582</v>
      </c>
      <c r="H136" s="4">
        <v>68763</v>
      </c>
      <c r="I136" t="s">
        <v>141</v>
      </c>
      <c r="J136" s="4">
        <v>18</v>
      </c>
      <c r="K136" s="4">
        <v>13</v>
      </c>
      <c r="L136" s="6">
        <v>0.722</v>
      </c>
      <c r="M136">
        <v>9</v>
      </c>
      <c r="N136">
        <v>9</v>
      </c>
      <c r="O136">
        <v>7</v>
      </c>
      <c r="P136">
        <v>6</v>
      </c>
      <c r="Q136" s="2">
        <v>8.75</v>
      </c>
      <c r="R136" s="2">
        <v>8.714</v>
      </c>
      <c r="S136" t="s">
        <v>124</v>
      </c>
    </row>
    <row r="137" spans="1:19" ht="12.75">
      <c r="A137">
        <v>76</v>
      </c>
      <c r="B137">
        <v>1</v>
      </c>
      <c r="C137" t="s">
        <v>191</v>
      </c>
      <c r="D137" t="str">
        <f>HYPERLINK("http://www.ensembl.org/Cavia_porcellus/protview?peptide=ENSCPOP00000005913","P00000005913")</f>
        <v>P00000005913</v>
      </c>
      <c r="F137" s="2">
        <v>15.9</v>
      </c>
      <c r="G137" s="4">
        <v>876</v>
      </c>
      <c r="H137" s="4">
        <v>97157</v>
      </c>
      <c r="I137" t="s">
        <v>192</v>
      </c>
      <c r="J137" s="4">
        <v>17</v>
      </c>
      <c r="K137" s="4">
        <v>17</v>
      </c>
      <c r="L137" s="6">
        <v>1</v>
      </c>
      <c r="M137">
        <v>12</v>
      </c>
      <c r="N137">
        <v>5</v>
      </c>
      <c r="O137">
        <v>12</v>
      </c>
      <c r="P137">
        <v>5</v>
      </c>
      <c r="Q137" s="2">
        <v>12</v>
      </c>
      <c r="R137" s="2">
        <v>5</v>
      </c>
      <c r="S137" t="s">
        <v>17</v>
      </c>
    </row>
    <row r="138" spans="1:19" ht="12.75">
      <c r="A138">
        <v>177</v>
      </c>
      <c r="B138">
        <v>1</v>
      </c>
      <c r="C138" t="s">
        <v>420</v>
      </c>
      <c r="D138" t="str">
        <f>HYPERLINK("http://www.ensembl.org/Cavia_porcellus/protview?peptide=ENSCPOP00000017361","P00000017361")</f>
        <v>P00000017361</v>
      </c>
      <c r="F138" s="2">
        <v>24.6</v>
      </c>
      <c r="G138" s="4">
        <v>199</v>
      </c>
      <c r="H138" s="4">
        <v>21950</v>
      </c>
      <c r="I138" t="s">
        <v>421</v>
      </c>
      <c r="J138" s="4">
        <v>17</v>
      </c>
      <c r="K138" s="4">
        <v>17</v>
      </c>
      <c r="L138" s="6">
        <v>1</v>
      </c>
      <c r="M138">
        <v>9</v>
      </c>
      <c r="N138">
        <v>8</v>
      </c>
      <c r="O138">
        <v>9</v>
      </c>
      <c r="P138">
        <v>8</v>
      </c>
      <c r="Q138" s="2">
        <v>9</v>
      </c>
      <c r="R138" s="2">
        <v>8</v>
      </c>
      <c r="S138" t="s">
        <v>17</v>
      </c>
    </row>
    <row r="139" spans="1:19" ht="12.75">
      <c r="A139">
        <v>125</v>
      </c>
      <c r="B139">
        <v>1</v>
      </c>
      <c r="C139" t="s">
        <v>302</v>
      </c>
      <c r="D139" t="str">
        <f>HYPERLINK("http://www.ensembl.org/Cavia_porcellus/protview?peptide=ENSCPOP00000010866","P00000010866")</f>
        <v>P00000010866</v>
      </c>
      <c r="F139" s="2">
        <v>28.6</v>
      </c>
      <c r="G139" s="4">
        <v>444</v>
      </c>
      <c r="H139" s="4">
        <v>49672</v>
      </c>
      <c r="I139" t="s">
        <v>303</v>
      </c>
      <c r="J139" s="4">
        <v>17</v>
      </c>
      <c r="K139" s="4">
        <v>2</v>
      </c>
      <c r="L139" s="6">
        <v>0.118</v>
      </c>
      <c r="M139">
        <v>9</v>
      </c>
      <c r="N139">
        <v>8</v>
      </c>
      <c r="O139">
        <v>2</v>
      </c>
      <c r="P139">
        <v>0</v>
      </c>
      <c r="Q139" s="2">
        <v>8</v>
      </c>
      <c r="R139" s="2">
        <v>0</v>
      </c>
      <c r="S139" t="s">
        <v>94</v>
      </c>
    </row>
    <row r="140" spans="1:19" ht="12.75">
      <c r="A140">
        <v>174</v>
      </c>
      <c r="B140">
        <v>1</v>
      </c>
      <c r="C140" t="s">
        <v>413</v>
      </c>
      <c r="D140" t="str">
        <f>HYPERLINK("http://www.ensembl.org/Cavia_porcellus/protview?peptide=ENSCPOP00000016787","P00000016787")</f>
        <v>P00000016787</v>
      </c>
      <c r="F140" s="2">
        <v>59.4</v>
      </c>
      <c r="G140" s="4">
        <v>187</v>
      </c>
      <c r="H140" s="4">
        <v>20947</v>
      </c>
      <c r="I140" t="s">
        <v>414</v>
      </c>
      <c r="J140" s="4">
        <v>17</v>
      </c>
      <c r="K140" s="4">
        <v>17</v>
      </c>
      <c r="L140" s="6">
        <v>1</v>
      </c>
      <c r="M140">
        <v>4</v>
      </c>
      <c r="N140">
        <v>13</v>
      </c>
      <c r="O140">
        <v>4</v>
      </c>
      <c r="P140">
        <v>13</v>
      </c>
      <c r="Q140" s="2">
        <v>4</v>
      </c>
      <c r="R140" s="2">
        <v>13</v>
      </c>
      <c r="S140" t="s">
        <v>17</v>
      </c>
    </row>
    <row r="141" spans="1:19" ht="12.75">
      <c r="A141">
        <v>156</v>
      </c>
      <c r="B141">
        <v>1</v>
      </c>
      <c r="C141" t="s">
        <v>371</v>
      </c>
      <c r="D141" t="str">
        <f>HYPERLINK("http://www.ensembl.org/Cavia_porcellus/protview?peptide=ENSCPOP00000013515","P00000013515")</f>
        <v>P00000013515</v>
      </c>
      <c r="F141" s="2">
        <v>3.3</v>
      </c>
      <c r="G141" s="4">
        <v>4503</v>
      </c>
      <c r="H141" s="4">
        <v>511715</v>
      </c>
      <c r="I141" t="s">
        <v>372</v>
      </c>
      <c r="J141" s="4">
        <v>16</v>
      </c>
      <c r="K141" s="4">
        <v>16</v>
      </c>
      <c r="L141" s="6">
        <v>1</v>
      </c>
      <c r="M141">
        <v>9</v>
      </c>
      <c r="N141">
        <v>7</v>
      </c>
      <c r="O141">
        <v>9</v>
      </c>
      <c r="P141">
        <v>7</v>
      </c>
      <c r="Q141" s="2">
        <v>9</v>
      </c>
      <c r="R141" s="2">
        <v>7</v>
      </c>
      <c r="S141" t="s">
        <v>17</v>
      </c>
    </row>
    <row r="142" spans="1:19" ht="12.75">
      <c r="A142">
        <v>163</v>
      </c>
      <c r="B142">
        <v>1</v>
      </c>
      <c r="C142" t="s">
        <v>386</v>
      </c>
      <c r="D142" t="str">
        <f>HYPERLINK("http://www.ensembl.org/Cavia_porcellus/protview?peptide=ENSCPOP00000014729","P00000014729")</f>
        <v>P00000014729</v>
      </c>
      <c r="F142" s="2">
        <v>23.2</v>
      </c>
      <c r="G142" s="4">
        <v>452</v>
      </c>
      <c r="H142" s="4">
        <v>50091</v>
      </c>
      <c r="I142" t="s">
        <v>387</v>
      </c>
      <c r="J142" s="4">
        <v>16</v>
      </c>
      <c r="K142" s="4">
        <v>16</v>
      </c>
      <c r="L142" s="6">
        <v>1</v>
      </c>
      <c r="M142">
        <v>9</v>
      </c>
      <c r="N142">
        <v>7</v>
      </c>
      <c r="O142">
        <v>9</v>
      </c>
      <c r="P142">
        <v>7</v>
      </c>
      <c r="Q142" s="2">
        <v>9</v>
      </c>
      <c r="R142" s="2">
        <v>7</v>
      </c>
      <c r="S142" t="s">
        <v>17</v>
      </c>
    </row>
    <row r="143" spans="1:19" ht="12.75">
      <c r="A143">
        <v>211</v>
      </c>
      <c r="B143">
        <v>1</v>
      </c>
      <c r="C143" t="s">
        <v>487</v>
      </c>
      <c r="D143" t="s">
        <v>17</v>
      </c>
      <c r="E143" t="s">
        <v>477</v>
      </c>
      <c r="F143" s="2">
        <v>3.5</v>
      </c>
      <c r="G143" s="4">
        <v>4636</v>
      </c>
      <c r="H143" s="4">
        <v>528930</v>
      </c>
      <c r="I143" t="s">
        <v>478</v>
      </c>
      <c r="J143" s="4">
        <v>16</v>
      </c>
      <c r="K143" s="4">
        <v>16</v>
      </c>
      <c r="L143" s="6">
        <v>1</v>
      </c>
      <c r="M143">
        <v>8</v>
      </c>
      <c r="N143">
        <v>8</v>
      </c>
      <c r="O143">
        <v>8</v>
      </c>
      <c r="P143">
        <v>8</v>
      </c>
      <c r="Q143" s="2">
        <v>8</v>
      </c>
      <c r="R143" s="2">
        <v>8</v>
      </c>
      <c r="S143" t="s">
        <v>17</v>
      </c>
    </row>
    <row r="144" spans="1:19" ht="12.75">
      <c r="A144">
        <v>34</v>
      </c>
      <c r="B144">
        <v>1</v>
      </c>
      <c r="C144" t="s">
        <v>99</v>
      </c>
      <c r="D144" t="str">
        <f>HYPERLINK("http://www.ensembl.org/Cavia_porcellus/protview?peptide=ENSCPOP00000002392","P00000002392")</f>
        <v>P00000002392</v>
      </c>
      <c r="F144" s="2">
        <v>52.7</v>
      </c>
      <c r="G144" s="4">
        <v>165</v>
      </c>
      <c r="H144" s="4">
        <v>17947</v>
      </c>
      <c r="I144" t="s">
        <v>100</v>
      </c>
      <c r="J144" s="4">
        <v>16</v>
      </c>
      <c r="K144" s="4">
        <v>16</v>
      </c>
      <c r="L144" s="6">
        <v>1</v>
      </c>
      <c r="M144">
        <v>7</v>
      </c>
      <c r="N144">
        <v>9</v>
      </c>
      <c r="O144">
        <v>7</v>
      </c>
      <c r="P144">
        <v>9</v>
      </c>
      <c r="Q144" s="2">
        <v>7</v>
      </c>
      <c r="R144" s="2">
        <v>9</v>
      </c>
      <c r="S144" t="s">
        <v>17</v>
      </c>
    </row>
    <row r="145" spans="1:19" ht="12.75">
      <c r="A145">
        <v>78</v>
      </c>
      <c r="B145">
        <v>1</v>
      </c>
      <c r="C145" t="s">
        <v>196</v>
      </c>
      <c r="D145" t="str">
        <f>HYPERLINK("http://www.ensembl.org/Cavia_porcellus/protview?peptide=ENSCPOP00000006169","P00000006169")</f>
        <v>P00000006169</v>
      </c>
      <c r="F145" s="2">
        <v>35.4</v>
      </c>
      <c r="G145" s="4">
        <v>254</v>
      </c>
      <c r="H145" s="4">
        <v>28791</v>
      </c>
      <c r="I145" t="s">
        <v>197</v>
      </c>
      <c r="J145" s="4">
        <v>16</v>
      </c>
      <c r="K145" s="4">
        <v>12</v>
      </c>
      <c r="L145" s="6">
        <v>0.75</v>
      </c>
      <c r="M145">
        <v>9</v>
      </c>
      <c r="N145">
        <v>7</v>
      </c>
      <c r="O145">
        <v>5</v>
      </c>
      <c r="P145">
        <v>7</v>
      </c>
      <c r="Q145" s="2">
        <v>6.429</v>
      </c>
      <c r="R145" s="2">
        <v>7</v>
      </c>
      <c r="S145" t="s">
        <v>195</v>
      </c>
    </row>
    <row r="146" spans="1:19" ht="12.75">
      <c r="A146">
        <v>124</v>
      </c>
      <c r="B146">
        <v>1</v>
      </c>
      <c r="C146" t="s">
        <v>298</v>
      </c>
      <c r="D146" t="str">
        <f>HYPERLINK("http://www.ensembl.org/Cavia_porcellus/protview?peptide=ENSCPOP00000010765","P00000010765")</f>
        <v>P00000010765</v>
      </c>
      <c r="F146" s="2">
        <v>28.5</v>
      </c>
      <c r="G146" s="4">
        <v>445</v>
      </c>
      <c r="H146" s="4">
        <v>49832</v>
      </c>
      <c r="I146" t="s">
        <v>299</v>
      </c>
      <c r="J146" s="4">
        <v>16</v>
      </c>
      <c r="K146" s="4">
        <v>1</v>
      </c>
      <c r="L146" s="6">
        <v>0.062</v>
      </c>
      <c r="M146">
        <v>7</v>
      </c>
      <c r="N146">
        <v>9</v>
      </c>
      <c r="O146">
        <v>0</v>
      </c>
      <c r="P146">
        <v>1</v>
      </c>
      <c r="Q146" s="2">
        <v>0</v>
      </c>
      <c r="R146" s="2">
        <v>7.5</v>
      </c>
      <c r="S146" t="s">
        <v>94</v>
      </c>
    </row>
    <row r="147" spans="1:19" ht="12.75">
      <c r="A147">
        <v>124.01</v>
      </c>
      <c r="B147">
        <v>1</v>
      </c>
      <c r="C147" t="s">
        <v>300</v>
      </c>
      <c r="D147" t="str">
        <f>HYPERLINK("http://www.ensembl.org/Cavia_porcellus/protview?peptide=ENSCPOP00000011593","P00000011593")</f>
        <v>P00000011593</v>
      </c>
      <c r="E147" t="s">
        <v>34</v>
      </c>
      <c r="F147" s="2">
        <v>28.5</v>
      </c>
      <c r="G147" s="4">
        <v>445</v>
      </c>
      <c r="H147" s="4">
        <v>49954</v>
      </c>
      <c r="I147" t="s">
        <v>301</v>
      </c>
      <c r="J147" s="4">
        <v>16</v>
      </c>
      <c r="K147" s="4">
        <v>1</v>
      </c>
      <c r="L147" s="6">
        <v>0.062</v>
      </c>
      <c r="M147">
        <v>7</v>
      </c>
      <c r="N147">
        <v>9</v>
      </c>
      <c r="O147">
        <v>0</v>
      </c>
      <c r="P147">
        <v>1</v>
      </c>
      <c r="Q147" s="2">
        <v>0</v>
      </c>
      <c r="R147" s="2">
        <v>7.5</v>
      </c>
      <c r="S147" t="s">
        <v>94</v>
      </c>
    </row>
    <row r="148" spans="1:19" ht="12.75">
      <c r="A148">
        <v>80</v>
      </c>
      <c r="B148">
        <v>1</v>
      </c>
      <c r="C148" t="s">
        <v>200</v>
      </c>
      <c r="D148" t="str">
        <f>HYPERLINK("http://www.ensembl.org/Cavia_porcellus/protview?peptide=ENSCPOP00000006182","P00000006182")</f>
        <v>P00000006182</v>
      </c>
      <c r="F148" s="2">
        <v>7.2</v>
      </c>
      <c r="G148" s="4">
        <v>1499</v>
      </c>
      <c r="H148" s="4">
        <v>145666</v>
      </c>
      <c r="I148" t="s">
        <v>201</v>
      </c>
      <c r="J148" s="4">
        <v>15</v>
      </c>
      <c r="K148" s="4">
        <v>15</v>
      </c>
      <c r="L148" s="6">
        <v>1</v>
      </c>
      <c r="M148">
        <v>10</v>
      </c>
      <c r="N148">
        <v>5</v>
      </c>
      <c r="O148">
        <v>10</v>
      </c>
      <c r="P148">
        <v>5</v>
      </c>
      <c r="Q148" s="2">
        <v>10</v>
      </c>
      <c r="R148" s="2">
        <v>5</v>
      </c>
      <c r="S148" t="s">
        <v>17</v>
      </c>
    </row>
    <row r="149" spans="1:19" ht="12.75">
      <c r="A149">
        <v>171</v>
      </c>
      <c r="B149">
        <v>1</v>
      </c>
      <c r="C149" t="s">
        <v>407</v>
      </c>
      <c r="D149" t="str">
        <f>HYPERLINK("http://www.ensembl.org/Cavia_porcellus/protview?peptide=ENSCPOP00000015956","P00000015956")</f>
        <v>P00000015956</v>
      </c>
      <c r="F149" s="2">
        <v>33</v>
      </c>
      <c r="G149" s="4">
        <v>303</v>
      </c>
      <c r="H149" s="4">
        <v>32985</v>
      </c>
      <c r="I149" t="s">
        <v>408</v>
      </c>
      <c r="J149" s="4">
        <v>15</v>
      </c>
      <c r="K149" s="4">
        <v>15</v>
      </c>
      <c r="L149" s="6">
        <v>1</v>
      </c>
      <c r="M149">
        <v>10</v>
      </c>
      <c r="N149">
        <v>5</v>
      </c>
      <c r="O149">
        <v>10</v>
      </c>
      <c r="P149">
        <v>5</v>
      </c>
      <c r="Q149" s="2">
        <v>10</v>
      </c>
      <c r="R149" s="2">
        <v>5</v>
      </c>
      <c r="S149" t="s">
        <v>17</v>
      </c>
    </row>
    <row r="150" spans="1:19" ht="12.75">
      <c r="A150">
        <v>121</v>
      </c>
      <c r="B150">
        <v>1</v>
      </c>
      <c r="C150" t="s">
        <v>292</v>
      </c>
      <c r="D150" t="str">
        <f>HYPERLINK("http://www.ensembl.org/Cavia_porcellus/protview?peptide=ENSCPOP00000010442","P00000010442")</f>
        <v>P00000010442</v>
      </c>
      <c r="F150" s="2">
        <v>55.9</v>
      </c>
      <c r="G150" s="4">
        <v>227</v>
      </c>
      <c r="H150" s="4">
        <v>24645</v>
      </c>
      <c r="I150" t="s">
        <v>293</v>
      </c>
      <c r="J150" s="4">
        <v>15</v>
      </c>
      <c r="K150" s="4">
        <v>15</v>
      </c>
      <c r="L150" s="6">
        <v>1</v>
      </c>
      <c r="M150">
        <v>9</v>
      </c>
      <c r="N150">
        <v>6</v>
      </c>
      <c r="O150">
        <v>9</v>
      </c>
      <c r="P150">
        <v>6</v>
      </c>
      <c r="Q150" s="2">
        <v>9</v>
      </c>
      <c r="R150" s="2">
        <v>6</v>
      </c>
      <c r="S150" t="s">
        <v>17</v>
      </c>
    </row>
    <row r="151" spans="1:19" ht="12.75">
      <c r="A151">
        <v>215</v>
      </c>
      <c r="B151">
        <v>1</v>
      </c>
      <c r="C151" t="s">
        <v>491</v>
      </c>
      <c r="D151" t="s">
        <v>17</v>
      </c>
      <c r="E151" t="s">
        <v>477</v>
      </c>
      <c r="F151" s="2">
        <v>5.9</v>
      </c>
      <c r="G151" s="4">
        <v>1146</v>
      </c>
      <c r="H151" s="4">
        <v>132088</v>
      </c>
      <c r="I151" t="s">
        <v>478</v>
      </c>
      <c r="J151" s="4">
        <v>15</v>
      </c>
      <c r="K151" s="4">
        <v>15</v>
      </c>
      <c r="L151" s="6">
        <v>1</v>
      </c>
      <c r="M151">
        <v>8</v>
      </c>
      <c r="N151">
        <v>7</v>
      </c>
      <c r="O151">
        <v>8</v>
      </c>
      <c r="P151">
        <v>7</v>
      </c>
      <c r="Q151" s="2">
        <v>8</v>
      </c>
      <c r="R151" s="2">
        <v>7</v>
      </c>
      <c r="S151" t="s">
        <v>17</v>
      </c>
    </row>
    <row r="152" spans="1:19" ht="12.75">
      <c r="A152">
        <v>54</v>
      </c>
      <c r="B152">
        <v>1</v>
      </c>
      <c r="C152" t="s">
        <v>144</v>
      </c>
      <c r="D152" t="str">
        <f>HYPERLINK("http://www.ensembl.org/Cavia_porcellus/protview?peptide=ENSCPOP00000004190","P00000004190")</f>
        <v>P00000004190</v>
      </c>
      <c r="F152" s="2">
        <v>55.1</v>
      </c>
      <c r="G152" s="4">
        <v>118</v>
      </c>
      <c r="H152" s="4">
        <v>12761</v>
      </c>
      <c r="I152" t="s">
        <v>145</v>
      </c>
      <c r="J152" s="4">
        <v>15</v>
      </c>
      <c r="K152" s="4">
        <v>15</v>
      </c>
      <c r="L152" s="6">
        <v>1</v>
      </c>
      <c r="M152">
        <v>6</v>
      </c>
      <c r="N152">
        <v>9</v>
      </c>
      <c r="O152">
        <v>6</v>
      </c>
      <c r="P152">
        <v>9</v>
      </c>
      <c r="Q152" s="2">
        <v>6</v>
      </c>
      <c r="R152" s="2">
        <v>9</v>
      </c>
      <c r="S152" t="s">
        <v>17</v>
      </c>
    </row>
    <row r="153" spans="1:19" ht="12.75">
      <c r="A153">
        <v>25</v>
      </c>
      <c r="B153">
        <v>1</v>
      </c>
      <c r="C153" t="s">
        <v>78</v>
      </c>
      <c r="D153" t="str">
        <f>HYPERLINK("http://www.ensembl.org/Cavia_porcellus/protview?peptide=ENSCPOP00000001659","P00000001659")</f>
        <v>P00000001659</v>
      </c>
      <c r="F153" s="2">
        <v>34.8</v>
      </c>
      <c r="G153" s="4">
        <v>204</v>
      </c>
      <c r="H153" s="4">
        <v>23412</v>
      </c>
      <c r="I153" t="s">
        <v>79</v>
      </c>
      <c r="J153" s="4">
        <v>15</v>
      </c>
      <c r="K153" s="4">
        <v>15</v>
      </c>
      <c r="L153" s="6">
        <v>1</v>
      </c>
      <c r="M153">
        <v>5</v>
      </c>
      <c r="N153">
        <v>10</v>
      </c>
      <c r="O153">
        <v>5</v>
      </c>
      <c r="P153">
        <v>10</v>
      </c>
      <c r="Q153" s="2">
        <v>5</v>
      </c>
      <c r="R153" s="2">
        <v>10</v>
      </c>
      <c r="S153" t="s">
        <v>17</v>
      </c>
    </row>
    <row r="154" spans="1:19" ht="12.75">
      <c r="A154">
        <v>208</v>
      </c>
      <c r="B154">
        <v>1</v>
      </c>
      <c r="C154" t="s">
        <v>484</v>
      </c>
      <c r="D154" t="s">
        <v>17</v>
      </c>
      <c r="E154" t="s">
        <v>477</v>
      </c>
      <c r="F154" s="2">
        <v>4.7</v>
      </c>
      <c r="G154" s="4">
        <v>2465</v>
      </c>
      <c r="H154" s="4">
        <v>270451</v>
      </c>
      <c r="I154" t="s">
        <v>478</v>
      </c>
      <c r="J154" s="4">
        <v>14</v>
      </c>
      <c r="K154" s="4">
        <v>14</v>
      </c>
      <c r="L154" s="6">
        <v>1</v>
      </c>
      <c r="M154">
        <v>11</v>
      </c>
      <c r="N154">
        <v>3</v>
      </c>
      <c r="O154">
        <v>11</v>
      </c>
      <c r="P154">
        <v>3</v>
      </c>
      <c r="Q154" s="2">
        <v>11</v>
      </c>
      <c r="R154" s="2">
        <v>3</v>
      </c>
      <c r="S154" t="s">
        <v>17</v>
      </c>
    </row>
    <row r="155" spans="1:19" ht="12.75">
      <c r="A155">
        <v>93</v>
      </c>
      <c r="B155">
        <v>1</v>
      </c>
      <c r="C155" t="s">
        <v>230</v>
      </c>
      <c r="D155" t="str">
        <f>HYPERLINK("http://www.ensembl.org/Cavia_porcellus/protview?peptide=ENSCPOP00000007606","P00000007606")</f>
        <v>P00000007606</v>
      </c>
      <c r="F155" s="2">
        <v>20.5</v>
      </c>
      <c r="G155" s="4">
        <v>508</v>
      </c>
      <c r="H155" s="4">
        <v>56979</v>
      </c>
      <c r="I155" t="s">
        <v>231</v>
      </c>
      <c r="J155" s="4">
        <v>14</v>
      </c>
      <c r="K155" s="4">
        <v>14</v>
      </c>
      <c r="L155" s="6">
        <v>1</v>
      </c>
      <c r="M155">
        <v>10</v>
      </c>
      <c r="N155">
        <v>4</v>
      </c>
      <c r="O155">
        <v>10</v>
      </c>
      <c r="P155">
        <v>4</v>
      </c>
      <c r="Q155" s="2">
        <v>10</v>
      </c>
      <c r="R155" s="2">
        <v>4</v>
      </c>
      <c r="S155" t="s">
        <v>17</v>
      </c>
    </row>
    <row r="156" spans="1:19" ht="12.75">
      <c r="A156">
        <v>144</v>
      </c>
      <c r="B156">
        <v>1</v>
      </c>
      <c r="C156" t="s">
        <v>345</v>
      </c>
      <c r="D156" t="str">
        <f>HYPERLINK("http://www.ensembl.org/Cavia_porcellus/protview?peptide=ENSCPOP00000012309","P00000012309")</f>
        <v>P00000012309</v>
      </c>
      <c r="F156" s="2">
        <v>27.4</v>
      </c>
      <c r="G156" s="4">
        <v>241</v>
      </c>
      <c r="H156" s="4">
        <v>26412</v>
      </c>
      <c r="I156" t="s">
        <v>346</v>
      </c>
      <c r="J156" s="4">
        <v>14</v>
      </c>
      <c r="K156" s="4">
        <v>14</v>
      </c>
      <c r="L156" s="6">
        <v>1</v>
      </c>
      <c r="M156">
        <v>8</v>
      </c>
      <c r="N156">
        <v>6</v>
      </c>
      <c r="O156">
        <v>8</v>
      </c>
      <c r="P156">
        <v>6</v>
      </c>
      <c r="Q156" s="2">
        <v>8</v>
      </c>
      <c r="R156" s="2">
        <v>6</v>
      </c>
      <c r="S156" t="s">
        <v>17</v>
      </c>
    </row>
    <row r="157" spans="1:19" ht="12.75">
      <c r="A157">
        <v>74</v>
      </c>
      <c r="B157">
        <v>1</v>
      </c>
      <c r="C157" t="s">
        <v>187</v>
      </c>
      <c r="D157" t="str">
        <f>HYPERLINK("http://www.ensembl.org/Cavia_porcellus/protview?peptide=ENSCPOP00000005886","P00000005886")</f>
        <v>P00000005886</v>
      </c>
      <c r="F157" s="2">
        <v>25.6</v>
      </c>
      <c r="G157" s="4">
        <v>344</v>
      </c>
      <c r="H157" s="4">
        <v>38038</v>
      </c>
      <c r="I157" t="s">
        <v>188</v>
      </c>
      <c r="J157" s="4">
        <v>14</v>
      </c>
      <c r="K157" s="4">
        <v>14</v>
      </c>
      <c r="L157" s="6">
        <v>1</v>
      </c>
      <c r="M157">
        <v>7</v>
      </c>
      <c r="N157">
        <v>7</v>
      </c>
      <c r="O157">
        <v>7</v>
      </c>
      <c r="P157">
        <v>7</v>
      </c>
      <c r="Q157" s="2">
        <v>7</v>
      </c>
      <c r="R157" s="2">
        <v>7</v>
      </c>
      <c r="S157" t="s">
        <v>17</v>
      </c>
    </row>
    <row r="158" spans="1:19" ht="12.75">
      <c r="A158">
        <v>69</v>
      </c>
      <c r="B158">
        <v>1</v>
      </c>
      <c r="C158" t="s">
        <v>176</v>
      </c>
      <c r="D158" t="str">
        <f>HYPERLINK("http://www.ensembl.org/Cavia_porcellus/protview?peptide=ENSCPOP00000005598","P00000005598")</f>
        <v>P00000005598</v>
      </c>
      <c r="F158" s="2">
        <v>5</v>
      </c>
      <c r="G158" s="4">
        <v>2465</v>
      </c>
      <c r="H158" s="4">
        <v>270451</v>
      </c>
      <c r="I158" t="s">
        <v>177</v>
      </c>
      <c r="J158" s="4">
        <v>14</v>
      </c>
      <c r="K158" s="4">
        <v>14</v>
      </c>
      <c r="L158" s="6">
        <v>1</v>
      </c>
      <c r="M158">
        <v>3</v>
      </c>
      <c r="N158">
        <v>11</v>
      </c>
      <c r="O158">
        <v>3</v>
      </c>
      <c r="P158">
        <v>11</v>
      </c>
      <c r="Q158" s="2">
        <v>3</v>
      </c>
      <c r="R158" s="2">
        <v>11</v>
      </c>
      <c r="S158" t="s">
        <v>17</v>
      </c>
    </row>
    <row r="159" spans="1:19" ht="12.75">
      <c r="A159">
        <v>202</v>
      </c>
      <c r="B159">
        <v>1</v>
      </c>
      <c r="C159" t="s">
        <v>476</v>
      </c>
      <c r="D159" t="s">
        <v>17</v>
      </c>
      <c r="E159" t="s">
        <v>477</v>
      </c>
      <c r="F159" s="2">
        <v>8.6</v>
      </c>
      <c r="G159" s="4">
        <v>1960</v>
      </c>
      <c r="H159" s="4">
        <v>226725</v>
      </c>
      <c r="I159" t="s">
        <v>478</v>
      </c>
      <c r="J159" s="4">
        <v>13</v>
      </c>
      <c r="K159" s="4">
        <v>13</v>
      </c>
      <c r="L159" s="6">
        <v>1</v>
      </c>
      <c r="M159">
        <v>11</v>
      </c>
      <c r="N159">
        <v>2</v>
      </c>
      <c r="O159">
        <v>11</v>
      </c>
      <c r="P159">
        <v>2</v>
      </c>
      <c r="Q159" s="2">
        <v>11</v>
      </c>
      <c r="R159" s="2">
        <v>2</v>
      </c>
      <c r="S159" t="s">
        <v>17</v>
      </c>
    </row>
    <row r="160" spans="1:19" ht="12.75">
      <c r="A160">
        <v>24</v>
      </c>
      <c r="B160">
        <v>1</v>
      </c>
      <c r="C160" t="s">
        <v>76</v>
      </c>
      <c r="D160" t="str">
        <f>HYPERLINK("http://www.ensembl.org/Cavia_porcellus/protview?peptide=ENSCPOP00000001620","P00000001620")</f>
        <v>P00000001620</v>
      </c>
      <c r="F160" s="2">
        <v>9.8</v>
      </c>
      <c r="G160" s="4">
        <v>1230</v>
      </c>
      <c r="H160" s="4">
        <v>136393</v>
      </c>
      <c r="I160" t="s">
        <v>77</v>
      </c>
      <c r="J160" s="4">
        <v>12</v>
      </c>
      <c r="K160" s="4">
        <v>12</v>
      </c>
      <c r="L160" s="6">
        <v>1</v>
      </c>
      <c r="M160">
        <v>9</v>
      </c>
      <c r="N160">
        <v>3</v>
      </c>
      <c r="O160">
        <v>9</v>
      </c>
      <c r="P160">
        <v>3</v>
      </c>
      <c r="Q160" s="2">
        <v>9</v>
      </c>
      <c r="R160" s="2">
        <v>3</v>
      </c>
      <c r="S160" t="s">
        <v>17</v>
      </c>
    </row>
    <row r="161" spans="1:19" ht="12.75">
      <c r="A161">
        <v>58</v>
      </c>
      <c r="B161">
        <v>1</v>
      </c>
      <c r="C161" t="s">
        <v>152</v>
      </c>
      <c r="D161" t="str">
        <f>HYPERLINK("http://www.ensembl.org/Cavia_porcellus/protview?peptide=ENSCPOP00000004542","P00000004542")</f>
        <v>P00000004542</v>
      </c>
      <c r="F161" s="2">
        <v>15.9</v>
      </c>
      <c r="G161" s="4">
        <v>460</v>
      </c>
      <c r="H161" s="4">
        <v>53032</v>
      </c>
      <c r="I161" t="s">
        <v>153</v>
      </c>
      <c r="J161" s="4">
        <v>12</v>
      </c>
      <c r="K161" s="4">
        <v>12</v>
      </c>
      <c r="L161" s="6">
        <v>1</v>
      </c>
      <c r="M161">
        <v>8</v>
      </c>
      <c r="N161">
        <v>4</v>
      </c>
      <c r="O161">
        <v>8</v>
      </c>
      <c r="P161">
        <v>4</v>
      </c>
      <c r="Q161" s="2">
        <v>8</v>
      </c>
      <c r="R161" s="2">
        <v>4</v>
      </c>
      <c r="S161" t="s">
        <v>17</v>
      </c>
    </row>
    <row r="162" spans="1:19" ht="12.75">
      <c r="A162">
        <v>201</v>
      </c>
      <c r="B162">
        <v>1</v>
      </c>
      <c r="C162" t="s">
        <v>472</v>
      </c>
      <c r="D162" t="str">
        <f>HYPERLINK("http://www.ensembl.org/Cavia_porcellus/protview?peptide=ENSCPOP00000020498","P00000020498")</f>
        <v>P00000020498</v>
      </c>
      <c r="F162" s="2">
        <v>37.6</v>
      </c>
      <c r="G162" s="4">
        <v>181</v>
      </c>
      <c r="H162" s="4">
        <v>20698</v>
      </c>
      <c r="I162" t="s">
        <v>473</v>
      </c>
      <c r="J162" s="4">
        <v>12</v>
      </c>
      <c r="K162" s="4">
        <v>4</v>
      </c>
      <c r="L162" s="6">
        <v>0.333</v>
      </c>
      <c r="M162">
        <v>8</v>
      </c>
      <c r="N162">
        <v>4</v>
      </c>
      <c r="O162">
        <v>3</v>
      </c>
      <c r="P162">
        <v>1</v>
      </c>
      <c r="Q162" s="2">
        <v>6.75</v>
      </c>
      <c r="R162" s="2">
        <v>2</v>
      </c>
      <c r="S162" t="s">
        <v>180</v>
      </c>
    </row>
    <row r="163" spans="1:19" ht="12.75">
      <c r="A163">
        <v>201.01</v>
      </c>
      <c r="B163">
        <v>1</v>
      </c>
      <c r="C163" t="s">
        <v>474</v>
      </c>
      <c r="D163" t="str">
        <f>HYPERLINK("http://www.ensembl.org/Cavia_porcellus/protview?peptide=ENSCPOP00000021163","P00000021163")</f>
        <v>P00000021163</v>
      </c>
      <c r="E163" t="s">
        <v>34</v>
      </c>
      <c r="F163" s="2">
        <v>37.6</v>
      </c>
      <c r="G163" s="4">
        <v>181</v>
      </c>
      <c r="H163" s="4">
        <v>20602</v>
      </c>
      <c r="I163" t="s">
        <v>475</v>
      </c>
      <c r="J163" s="4">
        <v>12</v>
      </c>
      <c r="K163" s="4">
        <v>4</v>
      </c>
      <c r="L163" s="6">
        <v>0.333</v>
      </c>
      <c r="M163">
        <v>8</v>
      </c>
      <c r="N163">
        <v>4</v>
      </c>
      <c r="O163">
        <v>3</v>
      </c>
      <c r="P163">
        <v>1</v>
      </c>
      <c r="Q163" s="2">
        <v>6.75</v>
      </c>
      <c r="R163" s="2">
        <v>2</v>
      </c>
      <c r="S163" t="s">
        <v>180</v>
      </c>
    </row>
    <row r="164" spans="1:19" ht="12.75">
      <c r="A164">
        <v>134</v>
      </c>
      <c r="B164">
        <v>1</v>
      </c>
      <c r="C164" t="s">
        <v>322</v>
      </c>
      <c r="D164" t="str">
        <f>HYPERLINK("http://www.ensembl.org/Cavia_porcellus/protview?peptide=ENSCPOP00000011580","P00000011580")</f>
        <v>P00000011580</v>
      </c>
      <c r="F164" s="2">
        <v>15.3</v>
      </c>
      <c r="G164" s="4">
        <v>535</v>
      </c>
      <c r="H164" s="4">
        <v>57421</v>
      </c>
      <c r="I164" t="s">
        <v>323</v>
      </c>
      <c r="J164" s="4">
        <v>12</v>
      </c>
      <c r="K164" s="4">
        <v>12</v>
      </c>
      <c r="L164" s="6">
        <v>1</v>
      </c>
      <c r="M164">
        <v>6</v>
      </c>
      <c r="N164">
        <v>6</v>
      </c>
      <c r="O164">
        <v>6</v>
      </c>
      <c r="P164">
        <v>6</v>
      </c>
      <c r="Q164" s="2">
        <v>6</v>
      </c>
      <c r="R164" s="2">
        <v>6</v>
      </c>
      <c r="S164" t="s">
        <v>17</v>
      </c>
    </row>
    <row r="165" spans="1:19" ht="12.75">
      <c r="A165">
        <v>154</v>
      </c>
      <c r="B165">
        <v>1</v>
      </c>
      <c r="C165" t="s">
        <v>367</v>
      </c>
      <c r="D165" t="str">
        <f>HYPERLINK("http://www.ensembl.org/Cavia_porcellus/protview?peptide=ENSCPOP00000013278","P00000013278")</f>
        <v>P00000013278</v>
      </c>
      <c r="F165" s="2">
        <v>36.1</v>
      </c>
      <c r="G165" s="4">
        <v>133</v>
      </c>
      <c r="H165" s="4">
        <v>14256</v>
      </c>
      <c r="I165" t="s">
        <v>368</v>
      </c>
      <c r="J165" s="4">
        <v>12</v>
      </c>
      <c r="K165" s="4">
        <v>12</v>
      </c>
      <c r="L165" s="6">
        <v>1</v>
      </c>
      <c r="M165">
        <v>4</v>
      </c>
      <c r="N165">
        <v>8</v>
      </c>
      <c r="O165">
        <v>4</v>
      </c>
      <c r="P165">
        <v>8</v>
      </c>
      <c r="Q165" s="2">
        <v>4</v>
      </c>
      <c r="R165" s="2">
        <v>8</v>
      </c>
      <c r="S165" t="s">
        <v>17</v>
      </c>
    </row>
    <row r="166" spans="1:19" ht="12.75">
      <c r="A166">
        <v>18</v>
      </c>
      <c r="B166">
        <v>1</v>
      </c>
      <c r="C166" t="s">
        <v>64</v>
      </c>
      <c r="D166" t="str">
        <f>HYPERLINK("http://www.ensembl.org/Cavia_porcellus/protview?peptide=ENSCPOP00000000612","P00000000612")</f>
        <v>P00000000612</v>
      </c>
      <c r="F166" s="2">
        <v>14.3</v>
      </c>
      <c r="G166" s="4">
        <v>736</v>
      </c>
      <c r="H166" s="4">
        <v>82605</v>
      </c>
      <c r="I166" t="s">
        <v>65</v>
      </c>
      <c r="J166" s="4">
        <v>11</v>
      </c>
      <c r="K166" s="4">
        <v>11</v>
      </c>
      <c r="L166" s="6">
        <v>1</v>
      </c>
      <c r="M166">
        <v>6</v>
      </c>
      <c r="N166">
        <v>5</v>
      </c>
      <c r="O166">
        <v>6</v>
      </c>
      <c r="P166">
        <v>5</v>
      </c>
      <c r="Q166" s="2">
        <v>6</v>
      </c>
      <c r="R166" s="2">
        <v>5</v>
      </c>
      <c r="S166" t="s">
        <v>17</v>
      </c>
    </row>
    <row r="167" spans="1:19" ht="12.75">
      <c r="A167">
        <v>51</v>
      </c>
      <c r="B167">
        <v>1</v>
      </c>
      <c r="C167" t="s">
        <v>138</v>
      </c>
      <c r="D167" t="str">
        <f>HYPERLINK("http://www.ensembl.org/Cavia_porcellus/protview?peptide=ENSCPOP00000003845","P00000003845")</f>
        <v>P00000003845</v>
      </c>
      <c r="F167" s="2">
        <v>17.8</v>
      </c>
      <c r="G167" s="4">
        <v>472</v>
      </c>
      <c r="H167" s="4">
        <v>53404</v>
      </c>
      <c r="I167" t="s">
        <v>139</v>
      </c>
      <c r="J167" s="4">
        <v>11</v>
      </c>
      <c r="K167" s="4">
        <v>11</v>
      </c>
      <c r="L167" s="6">
        <v>1</v>
      </c>
      <c r="M167">
        <v>6</v>
      </c>
      <c r="N167">
        <v>5</v>
      </c>
      <c r="O167">
        <v>6</v>
      </c>
      <c r="P167">
        <v>5</v>
      </c>
      <c r="Q167" s="2">
        <v>6</v>
      </c>
      <c r="R167" s="2">
        <v>5</v>
      </c>
      <c r="S167" t="s">
        <v>17</v>
      </c>
    </row>
    <row r="168" spans="1:19" ht="12.75">
      <c r="A168">
        <v>63</v>
      </c>
      <c r="B168">
        <v>1</v>
      </c>
      <c r="C168" t="s">
        <v>162</v>
      </c>
      <c r="D168" t="str">
        <f>HYPERLINK("http://www.ensembl.org/Cavia_porcellus/protview?peptide=ENSCPOP00000005055","P00000005055")</f>
        <v>P00000005055</v>
      </c>
      <c r="F168" s="2">
        <v>25.7</v>
      </c>
      <c r="G168" s="4">
        <v>101</v>
      </c>
      <c r="H168" s="4">
        <v>11687</v>
      </c>
      <c r="I168" t="s">
        <v>163</v>
      </c>
      <c r="J168" s="4">
        <v>11</v>
      </c>
      <c r="K168" s="4">
        <v>11</v>
      </c>
      <c r="L168" s="6">
        <v>1</v>
      </c>
      <c r="M168">
        <v>6</v>
      </c>
      <c r="N168">
        <v>5</v>
      </c>
      <c r="O168">
        <v>6</v>
      </c>
      <c r="P168">
        <v>5</v>
      </c>
      <c r="Q168" s="2">
        <v>6</v>
      </c>
      <c r="R168" s="2">
        <v>5</v>
      </c>
      <c r="S168" t="s">
        <v>17</v>
      </c>
    </row>
    <row r="169" spans="1:19" ht="12.75">
      <c r="A169">
        <v>95</v>
      </c>
      <c r="B169">
        <v>1</v>
      </c>
      <c r="C169" t="s">
        <v>234</v>
      </c>
      <c r="D169" t="str">
        <f>HYPERLINK("http://www.ensembl.org/Cavia_porcellus/protview?peptide=ENSCPOP00000007755","P00000007755")</f>
        <v>P00000007755</v>
      </c>
      <c r="F169" s="2">
        <v>15.5</v>
      </c>
      <c r="G169" s="4">
        <v>413</v>
      </c>
      <c r="H169" s="4">
        <v>46200</v>
      </c>
      <c r="I169" t="s">
        <v>235</v>
      </c>
      <c r="J169" s="4">
        <v>11</v>
      </c>
      <c r="K169" s="4">
        <v>11</v>
      </c>
      <c r="L169" s="6">
        <v>1</v>
      </c>
      <c r="M169">
        <v>6</v>
      </c>
      <c r="N169">
        <v>5</v>
      </c>
      <c r="O169">
        <v>6</v>
      </c>
      <c r="P169">
        <v>5</v>
      </c>
      <c r="Q169" s="2">
        <v>6</v>
      </c>
      <c r="R169" s="2">
        <v>5</v>
      </c>
      <c r="S169" t="s">
        <v>17</v>
      </c>
    </row>
    <row r="170" spans="1:19" ht="12.75">
      <c r="A170">
        <v>49</v>
      </c>
      <c r="B170">
        <v>1</v>
      </c>
      <c r="C170" t="s">
        <v>134</v>
      </c>
      <c r="D170" t="str">
        <f>HYPERLINK("http://www.ensembl.org/Cavia_porcellus/protview?peptide=ENSCPOP00000003760","P00000003760")</f>
        <v>P00000003760</v>
      </c>
      <c r="F170" s="2">
        <v>19.2</v>
      </c>
      <c r="G170" s="4">
        <v>646</v>
      </c>
      <c r="H170" s="4">
        <v>70899</v>
      </c>
      <c r="I170" t="s">
        <v>135</v>
      </c>
      <c r="J170" s="4">
        <v>11</v>
      </c>
      <c r="K170" s="4">
        <v>11</v>
      </c>
      <c r="L170" s="6">
        <v>1</v>
      </c>
      <c r="M170">
        <v>5</v>
      </c>
      <c r="N170">
        <v>6</v>
      </c>
      <c r="O170">
        <v>5</v>
      </c>
      <c r="P170">
        <v>6</v>
      </c>
      <c r="Q170" s="2">
        <v>5</v>
      </c>
      <c r="R170" s="2">
        <v>6</v>
      </c>
      <c r="S170" t="s">
        <v>17</v>
      </c>
    </row>
    <row r="171" spans="1:19" ht="12.75">
      <c r="A171">
        <v>207</v>
      </c>
      <c r="B171">
        <v>1</v>
      </c>
      <c r="C171" t="s">
        <v>483</v>
      </c>
      <c r="D171" t="s">
        <v>17</v>
      </c>
      <c r="E171" t="s">
        <v>477</v>
      </c>
      <c r="F171" s="2">
        <v>5.4</v>
      </c>
      <c r="G171" s="4">
        <v>1675</v>
      </c>
      <c r="H171" s="4">
        <v>191616</v>
      </c>
      <c r="I171" t="s">
        <v>478</v>
      </c>
      <c r="J171" s="4">
        <v>11</v>
      </c>
      <c r="K171" s="4">
        <v>11</v>
      </c>
      <c r="L171" s="6">
        <v>1</v>
      </c>
      <c r="M171">
        <v>4</v>
      </c>
      <c r="N171">
        <v>7</v>
      </c>
      <c r="O171">
        <v>4</v>
      </c>
      <c r="P171">
        <v>7</v>
      </c>
      <c r="Q171" s="2">
        <v>4</v>
      </c>
      <c r="R171" s="2">
        <v>7</v>
      </c>
      <c r="S171" t="s">
        <v>17</v>
      </c>
    </row>
    <row r="172" spans="1:19" ht="12.75">
      <c r="A172">
        <v>186</v>
      </c>
      <c r="B172">
        <v>1</v>
      </c>
      <c r="C172" t="s">
        <v>442</v>
      </c>
      <c r="D172" t="str">
        <f>HYPERLINK("http://www.ensembl.org/Cavia_porcellus/protview?peptide=ENSCPOP00000018544","P00000018544")</f>
        <v>P00000018544</v>
      </c>
      <c r="F172" s="2">
        <v>9.1</v>
      </c>
      <c r="G172" s="4">
        <v>364</v>
      </c>
      <c r="H172" s="4">
        <v>39536</v>
      </c>
      <c r="I172" t="s">
        <v>443</v>
      </c>
      <c r="J172" s="4">
        <v>11</v>
      </c>
      <c r="K172" s="4">
        <v>11</v>
      </c>
      <c r="L172" s="6">
        <v>1</v>
      </c>
      <c r="M172">
        <v>3</v>
      </c>
      <c r="N172">
        <v>8</v>
      </c>
      <c r="O172">
        <v>3</v>
      </c>
      <c r="P172">
        <v>8</v>
      </c>
      <c r="Q172" s="2">
        <v>3</v>
      </c>
      <c r="R172" s="2">
        <v>8</v>
      </c>
      <c r="S172" t="s">
        <v>17</v>
      </c>
    </row>
    <row r="173" spans="1:19" ht="12.75">
      <c r="A173">
        <v>70</v>
      </c>
      <c r="B173">
        <v>1</v>
      </c>
      <c r="C173" t="s">
        <v>178</v>
      </c>
      <c r="D173" t="str">
        <f>HYPERLINK("http://www.ensembl.org/Cavia_porcellus/protview?peptide=ENSCPOP00000005627","P00000005627")</f>
        <v>P00000005627</v>
      </c>
      <c r="F173" s="2">
        <v>34.4</v>
      </c>
      <c r="G173" s="4">
        <v>183</v>
      </c>
      <c r="H173" s="4">
        <v>20873</v>
      </c>
      <c r="I173" t="s">
        <v>179</v>
      </c>
      <c r="J173" s="4">
        <v>11</v>
      </c>
      <c r="K173" s="4">
        <v>3</v>
      </c>
      <c r="L173" s="6">
        <v>0.273</v>
      </c>
      <c r="M173">
        <v>6</v>
      </c>
      <c r="N173">
        <v>5</v>
      </c>
      <c r="O173">
        <v>1</v>
      </c>
      <c r="P173">
        <v>2</v>
      </c>
      <c r="Q173" s="2">
        <v>2.25</v>
      </c>
      <c r="R173" s="2">
        <v>4</v>
      </c>
      <c r="S173" t="s">
        <v>180</v>
      </c>
    </row>
    <row r="174" spans="1:19" ht="12.75">
      <c r="A174">
        <v>62</v>
      </c>
      <c r="B174">
        <v>1</v>
      </c>
      <c r="C174" t="s">
        <v>160</v>
      </c>
      <c r="D174" t="str">
        <f>HYPERLINK("http://www.ensembl.org/Cavia_porcellus/protview?peptide=ENSCPOP00000004961","P00000004961")</f>
        <v>P00000004961</v>
      </c>
      <c r="F174" s="2">
        <v>10.3</v>
      </c>
      <c r="G174" s="4">
        <v>1675</v>
      </c>
      <c r="H174" s="4">
        <v>191616</v>
      </c>
      <c r="I174" t="s">
        <v>161</v>
      </c>
      <c r="J174" s="4">
        <v>10</v>
      </c>
      <c r="K174" s="4">
        <v>10</v>
      </c>
      <c r="L174" s="6">
        <v>1</v>
      </c>
      <c r="M174">
        <v>8</v>
      </c>
      <c r="N174">
        <v>2</v>
      </c>
      <c r="O174">
        <v>8</v>
      </c>
      <c r="P174">
        <v>2</v>
      </c>
      <c r="Q174" s="2">
        <v>8</v>
      </c>
      <c r="R174" s="2">
        <v>2</v>
      </c>
      <c r="S174" t="s">
        <v>17</v>
      </c>
    </row>
    <row r="175" spans="1:19" ht="12.75">
      <c r="A175">
        <v>157</v>
      </c>
      <c r="B175">
        <v>1</v>
      </c>
      <c r="C175" t="s">
        <v>373</v>
      </c>
      <c r="D175" t="str">
        <f>HYPERLINK("http://www.ensembl.org/Cavia_porcellus/protview?peptide=ENSCPOP00000013548","P00000013548")</f>
        <v>P00000013548</v>
      </c>
      <c r="F175" s="2">
        <v>9.7</v>
      </c>
      <c r="G175" s="4">
        <v>546</v>
      </c>
      <c r="H175" s="4">
        <v>59973</v>
      </c>
      <c r="I175" t="s">
        <v>374</v>
      </c>
      <c r="J175" s="4">
        <v>10</v>
      </c>
      <c r="K175" s="4">
        <v>10</v>
      </c>
      <c r="L175" s="6">
        <v>1</v>
      </c>
      <c r="M175">
        <v>8</v>
      </c>
      <c r="N175">
        <v>2</v>
      </c>
      <c r="O175">
        <v>8</v>
      </c>
      <c r="P175">
        <v>2</v>
      </c>
      <c r="Q175" s="2">
        <v>8</v>
      </c>
      <c r="R175" s="2">
        <v>2</v>
      </c>
      <c r="S175" t="s">
        <v>17</v>
      </c>
    </row>
    <row r="176" spans="1:19" ht="12.75">
      <c r="A176">
        <v>132</v>
      </c>
      <c r="B176">
        <v>1</v>
      </c>
      <c r="C176" t="s">
        <v>318</v>
      </c>
      <c r="D176" t="str">
        <f>HYPERLINK("http://www.ensembl.org/Cavia_porcellus/protview?peptide=ENSCPOP00000011214","P00000011214")</f>
        <v>P00000011214</v>
      </c>
      <c r="F176" s="2">
        <v>2.5</v>
      </c>
      <c r="G176" s="4">
        <v>2650</v>
      </c>
      <c r="H176" s="4">
        <v>302607</v>
      </c>
      <c r="I176" t="s">
        <v>319</v>
      </c>
      <c r="J176" s="4">
        <v>10</v>
      </c>
      <c r="K176" s="4">
        <v>10</v>
      </c>
      <c r="L176" s="6">
        <v>1</v>
      </c>
      <c r="M176">
        <v>7</v>
      </c>
      <c r="N176">
        <v>3</v>
      </c>
      <c r="O176">
        <v>7</v>
      </c>
      <c r="P176">
        <v>3</v>
      </c>
      <c r="Q176" s="2">
        <v>7</v>
      </c>
      <c r="R176" s="2">
        <v>3</v>
      </c>
      <c r="S176" t="s">
        <v>17</v>
      </c>
    </row>
    <row r="177" spans="1:19" ht="12.75">
      <c r="A177">
        <v>165</v>
      </c>
      <c r="B177">
        <v>1</v>
      </c>
      <c r="C177" t="s">
        <v>390</v>
      </c>
      <c r="D177" t="str">
        <f>HYPERLINK("http://www.ensembl.org/Cavia_porcellus/protview?peptide=ENSCPOP00000015124","P00000015124")</f>
        <v>P00000015124</v>
      </c>
      <c r="F177" s="2">
        <v>15.7</v>
      </c>
      <c r="G177" s="4">
        <v>700</v>
      </c>
      <c r="H177" s="4">
        <v>79603</v>
      </c>
      <c r="I177" t="s">
        <v>391</v>
      </c>
      <c r="J177" s="4">
        <v>10</v>
      </c>
      <c r="K177" s="4">
        <v>10</v>
      </c>
      <c r="L177" s="6">
        <v>1</v>
      </c>
      <c r="M177">
        <v>6</v>
      </c>
      <c r="N177">
        <v>4</v>
      </c>
      <c r="O177">
        <v>6</v>
      </c>
      <c r="P177">
        <v>4</v>
      </c>
      <c r="Q177" s="2">
        <v>6</v>
      </c>
      <c r="R177" s="2">
        <v>4</v>
      </c>
      <c r="S177" t="s">
        <v>17</v>
      </c>
    </row>
    <row r="178" spans="1:19" ht="12.75">
      <c r="A178">
        <v>107</v>
      </c>
      <c r="B178">
        <v>1</v>
      </c>
      <c r="C178" t="s">
        <v>262</v>
      </c>
      <c r="D178" t="str">
        <f>HYPERLINK("http://www.ensembl.org/Cavia_porcellus/protview?peptide=ENSCPOP00000009454","P00000009454")</f>
        <v>P00000009454</v>
      </c>
      <c r="F178" s="2">
        <v>3.5</v>
      </c>
      <c r="G178" s="4">
        <v>2602</v>
      </c>
      <c r="H178" s="4">
        <v>278328</v>
      </c>
      <c r="I178" t="s">
        <v>263</v>
      </c>
      <c r="J178" s="4">
        <v>10</v>
      </c>
      <c r="K178" s="4">
        <v>6</v>
      </c>
      <c r="L178" s="6">
        <v>0.6</v>
      </c>
      <c r="M178">
        <v>7</v>
      </c>
      <c r="N178">
        <v>3</v>
      </c>
      <c r="O178">
        <v>5</v>
      </c>
      <c r="P178">
        <v>1</v>
      </c>
      <c r="Q178" s="2">
        <v>5.083</v>
      </c>
      <c r="R178" s="2">
        <v>1.038</v>
      </c>
      <c r="S178" t="s">
        <v>105</v>
      </c>
    </row>
    <row r="179" spans="1:19" ht="12.75">
      <c r="A179">
        <v>103</v>
      </c>
      <c r="B179">
        <v>1</v>
      </c>
      <c r="C179" t="s">
        <v>251</v>
      </c>
      <c r="D179" t="str">
        <f>HYPERLINK("http://www.ensembl.org/Cavia_porcellus/protview?peptide=ENSCPOP00000008701","P00000008701")</f>
        <v>P00000008701</v>
      </c>
      <c r="F179" s="2">
        <v>10.9</v>
      </c>
      <c r="G179" s="4">
        <v>451</v>
      </c>
      <c r="H179" s="4">
        <v>50880</v>
      </c>
      <c r="I179" t="s">
        <v>252</v>
      </c>
      <c r="J179" s="4">
        <v>10</v>
      </c>
      <c r="K179" s="4">
        <v>10</v>
      </c>
      <c r="L179" s="6">
        <v>1</v>
      </c>
      <c r="M179">
        <v>5</v>
      </c>
      <c r="N179">
        <v>5</v>
      </c>
      <c r="O179">
        <v>5</v>
      </c>
      <c r="P179">
        <v>5</v>
      </c>
      <c r="Q179" s="2">
        <v>5</v>
      </c>
      <c r="R179" s="2">
        <v>5</v>
      </c>
      <c r="S179" t="s">
        <v>17</v>
      </c>
    </row>
    <row r="180" spans="1:19" ht="12.75">
      <c r="A180">
        <v>196</v>
      </c>
      <c r="B180">
        <v>1</v>
      </c>
      <c r="C180" t="s">
        <v>462</v>
      </c>
      <c r="D180" t="str">
        <f>HYPERLINK("http://www.ensembl.org/Cavia_porcellus/protview?peptide=ENSCPOP00000020182","P00000020182")</f>
        <v>P00000020182</v>
      </c>
      <c r="F180" s="2">
        <v>3</v>
      </c>
      <c r="G180" s="4">
        <v>1383</v>
      </c>
      <c r="H180" s="4">
        <v>149287</v>
      </c>
      <c r="I180" t="s">
        <v>463</v>
      </c>
      <c r="J180" s="4">
        <v>10</v>
      </c>
      <c r="K180" s="4">
        <v>10</v>
      </c>
      <c r="L180" s="6">
        <v>1</v>
      </c>
      <c r="M180">
        <v>5</v>
      </c>
      <c r="N180">
        <v>5</v>
      </c>
      <c r="O180">
        <v>5</v>
      </c>
      <c r="P180">
        <v>5</v>
      </c>
      <c r="Q180" s="2">
        <v>5</v>
      </c>
      <c r="R180" s="2">
        <v>5</v>
      </c>
      <c r="S180" t="s">
        <v>17</v>
      </c>
    </row>
    <row r="181" spans="1:19" ht="12.75">
      <c r="A181">
        <v>200</v>
      </c>
      <c r="B181">
        <v>1</v>
      </c>
      <c r="C181" t="s">
        <v>470</v>
      </c>
      <c r="D181" t="str">
        <f>HYPERLINK("http://www.ensembl.org/Cavia_porcellus/protview?peptide=ENSCPOP00000020424","P00000020424")</f>
        <v>P00000020424</v>
      </c>
      <c r="F181" s="2">
        <v>8.7</v>
      </c>
      <c r="G181" s="4">
        <v>437</v>
      </c>
      <c r="H181" s="4">
        <v>50103</v>
      </c>
      <c r="I181" t="s">
        <v>471</v>
      </c>
      <c r="J181" s="4">
        <v>10</v>
      </c>
      <c r="K181" s="4">
        <v>10</v>
      </c>
      <c r="L181" s="6">
        <v>1</v>
      </c>
      <c r="M181">
        <v>5</v>
      </c>
      <c r="N181">
        <v>5</v>
      </c>
      <c r="O181">
        <v>5</v>
      </c>
      <c r="P181">
        <v>5</v>
      </c>
      <c r="Q181" s="2">
        <v>5</v>
      </c>
      <c r="R181" s="2">
        <v>5</v>
      </c>
      <c r="S181" t="s">
        <v>17</v>
      </c>
    </row>
    <row r="182" spans="1:19" ht="12.75">
      <c r="A182">
        <v>217</v>
      </c>
      <c r="B182">
        <v>1</v>
      </c>
      <c r="C182" t="s">
        <v>493</v>
      </c>
      <c r="D182" t="s">
        <v>17</v>
      </c>
      <c r="E182" t="s">
        <v>477</v>
      </c>
      <c r="F182" s="2">
        <v>2.8</v>
      </c>
      <c r="G182" s="4">
        <v>4503</v>
      </c>
      <c r="H182" s="4">
        <v>511715</v>
      </c>
      <c r="I182" t="s">
        <v>478</v>
      </c>
      <c r="J182" s="4">
        <v>10</v>
      </c>
      <c r="K182" s="4">
        <v>10</v>
      </c>
      <c r="L182" s="6">
        <v>1</v>
      </c>
      <c r="M182">
        <v>5</v>
      </c>
      <c r="N182">
        <v>5</v>
      </c>
      <c r="O182">
        <v>5</v>
      </c>
      <c r="P182">
        <v>5</v>
      </c>
      <c r="Q182" s="2">
        <v>5</v>
      </c>
      <c r="R182" s="2">
        <v>5</v>
      </c>
      <c r="S182" t="s">
        <v>17</v>
      </c>
    </row>
    <row r="183" spans="1:19" ht="12.75">
      <c r="A183">
        <v>180</v>
      </c>
      <c r="B183">
        <v>1</v>
      </c>
      <c r="C183" t="s">
        <v>427</v>
      </c>
      <c r="D183" t="str">
        <f>HYPERLINK("http://www.ensembl.org/Cavia_porcellus/protview?peptide=ENSCPOP00000017620","P00000017620")</f>
        <v>P00000017620</v>
      </c>
      <c r="F183" s="2">
        <v>6.2</v>
      </c>
      <c r="G183" s="4">
        <v>1970</v>
      </c>
      <c r="H183" s="4">
        <v>208457</v>
      </c>
      <c r="I183" t="s">
        <v>428</v>
      </c>
      <c r="J183" s="4">
        <v>10</v>
      </c>
      <c r="K183" s="4">
        <v>10</v>
      </c>
      <c r="L183" s="6">
        <v>1</v>
      </c>
      <c r="M183">
        <v>3</v>
      </c>
      <c r="N183">
        <v>7</v>
      </c>
      <c r="O183">
        <v>3</v>
      </c>
      <c r="P183">
        <v>7</v>
      </c>
      <c r="Q183" s="2">
        <v>3</v>
      </c>
      <c r="R183" s="2">
        <v>7</v>
      </c>
      <c r="S183" t="s">
        <v>17</v>
      </c>
    </row>
    <row r="184" spans="1:19" ht="12.75">
      <c r="A184">
        <v>122</v>
      </c>
      <c r="B184">
        <v>1</v>
      </c>
      <c r="C184" t="s">
        <v>294</v>
      </c>
      <c r="D184" t="str">
        <f>HYPERLINK("http://www.ensembl.org/Cavia_porcellus/protview?peptide=ENSCPOP00000010708","P00000010708")</f>
        <v>P00000010708</v>
      </c>
      <c r="F184" s="2">
        <v>11.1</v>
      </c>
      <c r="G184" s="4">
        <v>911</v>
      </c>
      <c r="H184" s="4">
        <v>105013</v>
      </c>
      <c r="I184" t="s">
        <v>295</v>
      </c>
      <c r="J184" s="4">
        <v>9</v>
      </c>
      <c r="K184" s="4">
        <v>9</v>
      </c>
      <c r="L184" s="6">
        <v>1</v>
      </c>
      <c r="M184">
        <v>9</v>
      </c>
      <c r="N184">
        <v>0</v>
      </c>
      <c r="O184">
        <v>9</v>
      </c>
      <c r="P184">
        <v>0</v>
      </c>
      <c r="Q184" s="2">
        <v>9</v>
      </c>
      <c r="R184" s="2">
        <v>0</v>
      </c>
      <c r="S184" t="s">
        <v>17</v>
      </c>
    </row>
    <row r="185" spans="1:19" ht="12.75">
      <c r="A185">
        <v>147</v>
      </c>
      <c r="B185">
        <v>1</v>
      </c>
      <c r="C185" t="s">
        <v>352</v>
      </c>
      <c r="D185" t="str">
        <f>HYPERLINK("http://www.ensembl.org/Cavia_porcellus/protview?peptide=ENSCPOP00000012652","P00000012652")</f>
        <v>P00000012652</v>
      </c>
      <c r="F185" s="2">
        <v>13.2</v>
      </c>
      <c r="G185" s="4">
        <v>265</v>
      </c>
      <c r="H185" s="4">
        <v>28783</v>
      </c>
      <c r="I185" t="s">
        <v>353</v>
      </c>
      <c r="J185" s="4">
        <v>9</v>
      </c>
      <c r="K185" s="4">
        <v>9</v>
      </c>
      <c r="L185" s="6">
        <v>1</v>
      </c>
      <c r="M185">
        <v>7</v>
      </c>
      <c r="N185">
        <v>2</v>
      </c>
      <c r="O185">
        <v>7</v>
      </c>
      <c r="P185">
        <v>2</v>
      </c>
      <c r="Q185" s="2">
        <v>7</v>
      </c>
      <c r="R185" s="2">
        <v>2</v>
      </c>
      <c r="S185" t="s">
        <v>17</v>
      </c>
    </row>
    <row r="186" spans="1:19" ht="12.75">
      <c r="A186">
        <v>32</v>
      </c>
      <c r="B186">
        <v>1</v>
      </c>
      <c r="C186" t="s">
        <v>95</v>
      </c>
      <c r="D186" t="str">
        <f>HYPERLINK("http://www.ensembl.org/Cavia_porcellus/protview?peptide=ENSCPOP00000002196","P00000002196")</f>
        <v>P00000002196</v>
      </c>
      <c r="F186" s="2">
        <v>25.8</v>
      </c>
      <c r="G186" s="4">
        <v>298</v>
      </c>
      <c r="H186" s="4">
        <v>33622</v>
      </c>
      <c r="I186" t="s">
        <v>96</v>
      </c>
      <c r="J186" s="4">
        <v>9</v>
      </c>
      <c r="K186" s="4">
        <v>9</v>
      </c>
      <c r="L186" s="6">
        <v>1</v>
      </c>
      <c r="M186">
        <v>6</v>
      </c>
      <c r="N186">
        <v>3</v>
      </c>
      <c r="O186">
        <v>6</v>
      </c>
      <c r="P186">
        <v>3</v>
      </c>
      <c r="Q186" s="2">
        <v>6</v>
      </c>
      <c r="R186" s="2">
        <v>3</v>
      </c>
      <c r="S186" t="s">
        <v>17</v>
      </c>
    </row>
    <row r="187" spans="1:19" ht="12.75">
      <c r="A187">
        <v>138</v>
      </c>
      <c r="B187">
        <v>1</v>
      </c>
      <c r="C187" t="s">
        <v>333</v>
      </c>
      <c r="D187" t="str">
        <f>HYPERLINK("http://www.ensembl.org/Cavia_porcellus/protview?peptide=ENSCPOP00000011823","P00000011823")</f>
        <v>P00000011823</v>
      </c>
      <c r="F187" s="2">
        <v>26.9</v>
      </c>
      <c r="G187" s="4">
        <v>234</v>
      </c>
      <c r="H187" s="4">
        <v>25900</v>
      </c>
      <c r="I187" t="s">
        <v>334</v>
      </c>
      <c r="J187" s="4">
        <v>9</v>
      </c>
      <c r="K187" s="4">
        <v>9</v>
      </c>
      <c r="L187" s="6">
        <v>1</v>
      </c>
      <c r="M187">
        <v>6</v>
      </c>
      <c r="N187">
        <v>3</v>
      </c>
      <c r="O187">
        <v>6</v>
      </c>
      <c r="P187">
        <v>3</v>
      </c>
      <c r="Q187" s="2">
        <v>6</v>
      </c>
      <c r="R187" s="2">
        <v>3</v>
      </c>
      <c r="S187" t="s">
        <v>17</v>
      </c>
    </row>
    <row r="188" spans="1:19" ht="12.75">
      <c r="A188">
        <v>57</v>
      </c>
      <c r="B188">
        <v>1</v>
      </c>
      <c r="C188" t="s">
        <v>150</v>
      </c>
      <c r="D188" t="str">
        <f>HYPERLINK("http://www.ensembl.org/Cavia_porcellus/protview?peptide=ENSCPOP00000004539","P00000004539")</f>
        <v>P00000004539</v>
      </c>
      <c r="F188" s="2">
        <v>1.4</v>
      </c>
      <c r="G188" s="4">
        <v>4380</v>
      </c>
      <c r="H188" s="4">
        <v>483440</v>
      </c>
      <c r="I188" t="s">
        <v>151</v>
      </c>
      <c r="J188" s="4">
        <v>9</v>
      </c>
      <c r="K188" s="4">
        <v>9</v>
      </c>
      <c r="L188" s="6">
        <v>1</v>
      </c>
      <c r="M188">
        <v>5</v>
      </c>
      <c r="N188">
        <v>4</v>
      </c>
      <c r="O188">
        <v>5</v>
      </c>
      <c r="P188">
        <v>4</v>
      </c>
      <c r="Q188" s="2">
        <v>5</v>
      </c>
      <c r="R188" s="2">
        <v>4</v>
      </c>
      <c r="S188" t="s">
        <v>17</v>
      </c>
    </row>
    <row r="189" spans="1:19" ht="12.75">
      <c r="A189">
        <v>114</v>
      </c>
      <c r="B189">
        <v>1</v>
      </c>
      <c r="C189" t="s">
        <v>277</v>
      </c>
      <c r="D189" t="str">
        <f>HYPERLINK("http://www.ensembl.org/Cavia_porcellus/protview?peptide=ENSCPOP00000009971","P00000009971")</f>
        <v>P00000009971</v>
      </c>
      <c r="F189" s="2">
        <v>14.9</v>
      </c>
      <c r="G189" s="4">
        <v>376</v>
      </c>
      <c r="H189" s="4">
        <v>42615</v>
      </c>
      <c r="I189" t="s">
        <v>278</v>
      </c>
      <c r="J189" s="4">
        <v>9</v>
      </c>
      <c r="K189" s="4">
        <v>9</v>
      </c>
      <c r="L189" s="6">
        <v>1</v>
      </c>
      <c r="M189">
        <v>5</v>
      </c>
      <c r="N189">
        <v>4</v>
      </c>
      <c r="O189">
        <v>5</v>
      </c>
      <c r="P189">
        <v>4</v>
      </c>
      <c r="Q189" s="2">
        <v>5</v>
      </c>
      <c r="R189" s="2">
        <v>4</v>
      </c>
      <c r="S189" t="s">
        <v>17</v>
      </c>
    </row>
    <row r="190" spans="1:19" ht="12.75">
      <c r="A190">
        <v>153</v>
      </c>
      <c r="B190">
        <v>1</v>
      </c>
      <c r="C190" t="s">
        <v>365</v>
      </c>
      <c r="D190" t="str">
        <f>HYPERLINK("http://www.ensembl.org/Cavia_porcellus/protview?peptide=ENSCPOP00000013199","P00000013199")</f>
        <v>P00000013199</v>
      </c>
      <c r="F190" s="2">
        <v>9.3</v>
      </c>
      <c r="G190" s="4">
        <v>410</v>
      </c>
      <c r="H190" s="4">
        <v>46671</v>
      </c>
      <c r="I190" t="s">
        <v>366</v>
      </c>
      <c r="J190" s="4">
        <v>9</v>
      </c>
      <c r="K190" s="4">
        <v>9</v>
      </c>
      <c r="L190" s="6">
        <v>1</v>
      </c>
      <c r="M190">
        <v>5</v>
      </c>
      <c r="N190">
        <v>4</v>
      </c>
      <c r="O190">
        <v>5</v>
      </c>
      <c r="P190">
        <v>4</v>
      </c>
      <c r="Q190" s="2">
        <v>5</v>
      </c>
      <c r="R190" s="2">
        <v>4</v>
      </c>
      <c r="S190" t="s">
        <v>17</v>
      </c>
    </row>
    <row r="191" spans="1:19" ht="12.75">
      <c r="A191">
        <v>71</v>
      </c>
      <c r="B191">
        <v>1</v>
      </c>
      <c r="C191" t="s">
        <v>181</v>
      </c>
      <c r="D191" t="str">
        <f>HYPERLINK("http://www.ensembl.org/Cavia_porcellus/protview?peptide=ENSCPOP00000005650","P00000005650")</f>
        <v>P00000005650</v>
      </c>
      <c r="F191" s="2">
        <v>31.1</v>
      </c>
      <c r="G191" s="4">
        <v>135</v>
      </c>
      <c r="H191" s="4">
        <v>14815</v>
      </c>
      <c r="I191" t="s">
        <v>182</v>
      </c>
      <c r="J191" s="4">
        <v>9</v>
      </c>
      <c r="K191" s="4">
        <v>9</v>
      </c>
      <c r="L191" s="6">
        <v>1</v>
      </c>
      <c r="M191">
        <v>2</v>
      </c>
      <c r="N191">
        <v>7</v>
      </c>
      <c r="O191">
        <v>2</v>
      </c>
      <c r="P191">
        <v>7</v>
      </c>
      <c r="Q191" s="2">
        <v>2</v>
      </c>
      <c r="R191" s="2">
        <v>7</v>
      </c>
      <c r="S191" t="s">
        <v>17</v>
      </c>
    </row>
    <row r="192" spans="1:19" ht="12.75">
      <c r="A192">
        <v>21</v>
      </c>
      <c r="B192">
        <v>1</v>
      </c>
      <c r="C192" t="s">
        <v>70</v>
      </c>
      <c r="D192" t="str">
        <f>HYPERLINK("http://www.ensembl.org/Cavia_porcellus/protview?peptide=ENSCPOP00000001161","P00000001161")</f>
        <v>P00000001161</v>
      </c>
      <c r="F192" s="2">
        <v>25</v>
      </c>
      <c r="G192" s="4">
        <v>324</v>
      </c>
      <c r="H192" s="4">
        <v>36749</v>
      </c>
      <c r="I192" t="s">
        <v>71</v>
      </c>
      <c r="J192" s="4">
        <v>8</v>
      </c>
      <c r="K192" s="4">
        <v>8</v>
      </c>
      <c r="L192" s="6">
        <v>1</v>
      </c>
      <c r="M192">
        <v>5</v>
      </c>
      <c r="N192">
        <v>3</v>
      </c>
      <c r="O192">
        <v>5</v>
      </c>
      <c r="P192">
        <v>3</v>
      </c>
      <c r="Q192" s="2">
        <v>5</v>
      </c>
      <c r="R192" s="2">
        <v>3</v>
      </c>
      <c r="S192" t="s">
        <v>17</v>
      </c>
    </row>
    <row r="193" spans="1:19" ht="12.75">
      <c r="A193">
        <v>37</v>
      </c>
      <c r="B193">
        <v>1</v>
      </c>
      <c r="C193" t="s">
        <v>106</v>
      </c>
      <c r="D193" t="str">
        <f>HYPERLINK("http://www.ensembl.org/Cavia_porcellus/protview?peptide=ENSCPOP00000002535","P00000002535")</f>
        <v>P00000002535</v>
      </c>
      <c r="F193" s="2">
        <v>27.9</v>
      </c>
      <c r="G193" s="4">
        <v>473</v>
      </c>
      <c r="H193" s="4">
        <v>51958</v>
      </c>
      <c r="I193" t="s">
        <v>107</v>
      </c>
      <c r="J193" s="4">
        <v>8</v>
      </c>
      <c r="K193" s="4">
        <v>8</v>
      </c>
      <c r="L193" s="6">
        <v>1</v>
      </c>
      <c r="M193">
        <v>5</v>
      </c>
      <c r="N193">
        <v>3</v>
      </c>
      <c r="O193">
        <v>5</v>
      </c>
      <c r="P193">
        <v>3</v>
      </c>
      <c r="Q193" s="2">
        <v>5</v>
      </c>
      <c r="R193" s="2">
        <v>3</v>
      </c>
      <c r="S193" t="s">
        <v>17</v>
      </c>
    </row>
    <row r="194" spans="1:19" ht="12.75">
      <c r="A194">
        <v>53</v>
      </c>
      <c r="B194">
        <v>1</v>
      </c>
      <c r="C194" t="s">
        <v>142</v>
      </c>
      <c r="D194" t="str">
        <f>HYPERLINK("http://www.ensembl.org/Cavia_porcellus/protview?peptide=ENSCPOP00000004127","P00000004127")</f>
        <v>P00000004127</v>
      </c>
      <c r="F194" s="2">
        <v>13.3</v>
      </c>
      <c r="G194" s="4">
        <v>475</v>
      </c>
      <c r="H194" s="4">
        <v>52875</v>
      </c>
      <c r="I194" t="s">
        <v>143</v>
      </c>
      <c r="J194" s="4">
        <v>8</v>
      </c>
      <c r="K194" s="4">
        <v>8</v>
      </c>
      <c r="L194" s="6">
        <v>1</v>
      </c>
      <c r="M194">
        <v>5</v>
      </c>
      <c r="N194">
        <v>3</v>
      </c>
      <c r="O194">
        <v>5</v>
      </c>
      <c r="P194">
        <v>3</v>
      </c>
      <c r="Q194" s="2">
        <v>5</v>
      </c>
      <c r="R194" s="2">
        <v>3</v>
      </c>
      <c r="S194" t="s">
        <v>17</v>
      </c>
    </row>
    <row r="195" spans="1:19" ht="12.75">
      <c r="A195">
        <v>41</v>
      </c>
      <c r="B195">
        <v>1</v>
      </c>
      <c r="C195" t="s">
        <v>116</v>
      </c>
      <c r="D195" t="str">
        <f>HYPERLINK("http://www.ensembl.org/Cavia_porcellus/protview?peptide=ENSCPOP00000002926","P00000002926")</f>
        <v>P00000002926</v>
      </c>
      <c r="F195" s="2">
        <v>7.1</v>
      </c>
      <c r="G195" s="4">
        <v>877</v>
      </c>
      <c r="H195" s="4">
        <v>97327</v>
      </c>
      <c r="I195" t="s">
        <v>117</v>
      </c>
      <c r="J195" s="4">
        <v>8</v>
      </c>
      <c r="K195" s="4">
        <v>8</v>
      </c>
      <c r="L195" s="6">
        <v>1</v>
      </c>
      <c r="M195">
        <v>4</v>
      </c>
      <c r="N195">
        <v>4</v>
      </c>
      <c r="O195">
        <v>4</v>
      </c>
      <c r="P195">
        <v>4</v>
      </c>
      <c r="Q195" s="2">
        <v>4</v>
      </c>
      <c r="R195" s="2">
        <v>4</v>
      </c>
      <c r="S195" t="s">
        <v>17</v>
      </c>
    </row>
    <row r="196" spans="1:19" ht="12.75">
      <c r="A196">
        <v>42</v>
      </c>
      <c r="B196">
        <v>1</v>
      </c>
      <c r="C196" t="s">
        <v>118</v>
      </c>
      <c r="D196" t="str">
        <f>HYPERLINK("http://www.ensembl.org/Cavia_porcellus/protview?peptide=ENSCPOP00000002972","P00000002972")</f>
        <v>P00000002972</v>
      </c>
      <c r="F196" s="2">
        <v>29.8</v>
      </c>
      <c r="G196" s="4">
        <v>319</v>
      </c>
      <c r="H196" s="4">
        <v>35779</v>
      </c>
      <c r="I196" t="s">
        <v>119</v>
      </c>
      <c r="J196" s="4">
        <v>8</v>
      </c>
      <c r="K196" s="4">
        <v>8</v>
      </c>
      <c r="L196" s="6">
        <v>1</v>
      </c>
      <c r="M196">
        <v>3</v>
      </c>
      <c r="N196">
        <v>5</v>
      </c>
      <c r="O196">
        <v>3</v>
      </c>
      <c r="P196">
        <v>5</v>
      </c>
      <c r="Q196" s="2">
        <v>3</v>
      </c>
      <c r="R196" s="2">
        <v>5</v>
      </c>
      <c r="S196" t="s">
        <v>17</v>
      </c>
    </row>
    <row r="197" spans="1:19" ht="12.75">
      <c r="A197">
        <v>188</v>
      </c>
      <c r="B197">
        <v>1</v>
      </c>
      <c r="C197" t="s">
        <v>446</v>
      </c>
      <c r="D197" t="str">
        <f>HYPERLINK("http://www.ensembl.org/Cavia_porcellus/protview?peptide=ENSCPOP00000018806","P00000018806")</f>
        <v>P00000018806</v>
      </c>
      <c r="F197" s="2">
        <v>14.1</v>
      </c>
      <c r="G197" s="4">
        <v>461</v>
      </c>
      <c r="H197" s="4">
        <v>51389</v>
      </c>
      <c r="I197" t="s">
        <v>447</v>
      </c>
      <c r="J197" s="4">
        <v>8</v>
      </c>
      <c r="K197" s="4">
        <v>8</v>
      </c>
      <c r="L197" s="6">
        <v>1</v>
      </c>
      <c r="M197">
        <v>3</v>
      </c>
      <c r="N197">
        <v>5</v>
      </c>
      <c r="O197">
        <v>3</v>
      </c>
      <c r="P197">
        <v>5</v>
      </c>
      <c r="Q197" s="2">
        <v>3</v>
      </c>
      <c r="R197" s="2">
        <v>5</v>
      </c>
      <c r="S197" t="s">
        <v>17</v>
      </c>
    </row>
    <row r="198" spans="1:19" ht="12.75">
      <c r="A198">
        <v>31</v>
      </c>
      <c r="B198">
        <v>1</v>
      </c>
      <c r="C198" t="s">
        <v>92</v>
      </c>
      <c r="D198" t="str">
        <f>HYPERLINK("http://www.ensembl.org/Cavia_porcellus/protview?peptide=ENSCPOP00000002164","P00000002164")</f>
        <v>P00000002164</v>
      </c>
      <c r="F198" s="2">
        <v>12.3</v>
      </c>
      <c r="G198" s="4">
        <v>432</v>
      </c>
      <c r="H198" s="4">
        <v>48526</v>
      </c>
      <c r="I198" t="s">
        <v>93</v>
      </c>
      <c r="J198" s="4">
        <v>8</v>
      </c>
      <c r="K198" s="4">
        <v>2</v>
      </c>
      <c r="L198" s="6">
        <v>0.25</v>
      </c>
      <c r="M198">
        <v>4</v>
      </c>
      <c r="N198">
        <v>4</v>
      </c>
      <c r="O198">
        <v>1</v>
      </c>
      <c r="P198">
        <v>1</v>
      </c>
      <c r="Q198" s="2">
        <v>2</v>
      </c>
      <c r="R198" s="2">
        <v>2.5</v>
      </c>
      <c r="S198" t="s">
        <v>94</v>
      </c>
    </row>
    <row r="199" spans="1:19" ht="12.75">
      <c r="A199">
        <v>101</v>
      </c>
      <c r="B199">
        <v>1</v>
      </c>
      <c r="C199" t="s">
        <v>246</v>
      </c>
      <c r="D199" t="str">
        <f>HYPERLINK("http://www.ensembl.org/Cavia_porcellus/protview?peptide=ENSCPOP00000008462","P00000008462")</f>
        <v>P00000008462</v>
      </c>
      <c r="F199" s="2">
        <v>16.2</v>
      </c>
      <c r="G199" s="4">
        <v>229</v>
      </c>
      <c r="H199" s="4">
        <v>27199</v>
      </c>
      <c r="I199" t="s">
        <v>247</v>
      </c>
      <c r="J199" s="4">
        <v>8</v>
      </c>
      <c r="K199" s="4">
        <v>3</v>
      </c>
      <c r="L199" s="6">
        <v>0.375</v>
      </c>
      <c r="M199">
        <v>4</v>
      </c>
      <c r="N199">
        <v>4</v>
      </c>
      <c r="O199">
        <v>1</v>
      </c>
      <c r="P199">
        <v>2</v>
      </c>
      <c r="Q199" s="2">
        <v>1.143</v>
      </c>
      <c r="R199" s="2">
        <v>2.19</v>
      </c>
      <c r="S199" t="s">
        <v>248</v>
      </c>
    </row>
    <row r="200" spans="1:19" ht="12.75">
      <c r="A200">
        <v>88</v>
      </c>
      <c r="B200">
        <v>1</v>
      </c>
      <c r="C200" t="s">
        <v>219</v>
      </c>
      <c r="D200" t="str">
        <f>HYPERLINK("http://www.ensembl.org/Cavia_porcellus/protview?peptide=ENSCPOP00000007058","P00000007058")</f>
        <v>P00000007058</v>
      </c>
      <c r="F200" s="2">
        <v>24.2</v>
      </c>
      <c r="G200" s="4">
        <v>277</v>
      </c>
      <c r="H200" s="4">
        <v>29987</v>
      </c>
      <c r="I200" t="s">
        <v>220</v>
      </c>
      <c r="J200" s="4">
        <v>7</v>
      </c>
      <c r="K200" s="4">
        <v>7</v>
      </c>
      <c r="L200" s="6">
        <v>1</v>
      </c>
      <c r="M200">
        <v>6</v>
      </c>
      <c r="N200">
        <v>1</v>
      </c>
      <c r="O200">
        <v>6</v>
      </c>
      <c r="P200">
        <v>1</v>
      </c>
      <c r="Q200" s="2">
        <v>6</v>
      </c>
      <c r="R200" s="2">
        <v>1</v>
      </c>
      <c r="S200" t="s">
        <v>17</v>
      </c>
    </row>
    <row r="201" spans="1:19" ht="12.75">
      <c r="A201">
        <v>40</v>
      </c>
      <c r="B201">
        <v>1</v>
      </c>
      <c r="C201" t="s">
        <v>114</v>
      </c>
      <c r="D201" t="str">
        <f>HYPERLINK("http://www.ensembl.org/Cavia_porcellus/protview?peptide=ENSCPOP00000002813","P00000002813")</f>
        <v>P00000002813</v>
      </c>
      <c r="F201" s="2">
        <v>22.4</v>
      </c>
      <c r="G201" s="4">
        <v>246</v>
      </c>
      <c r="H201" s="4">
        <v>27413</v>
      </c>
      <c r="I201" t="s">
        <v>115</v>
      </c>
      <c r="J201" s="4">
        <v>7</v>
      </c>
      <c r="K201" s="4">
        <v>7</v>
      </c>
      <c r="L201" s="6">
        <v>1</v>
      </c>
      <c r="M201">
        <v>5</v>
      </c>
      <c r="N201">
        <v>2</v>
      </c>
      <c r="O201">
        <v>5</v>
      </c>
      <c r="P201">
        <v>2</v>
      </c>
      <c r="Q201" s="2">
        <v>5</v>
      </c>
      <c r="R201" s="2">
        <v>2</v>
      </c>
      <c r="S201" t="s">
        <v>17</v>
      </c>
    </row>
    <row r="202" spans="1:19" ht="12.75">
      <c r="A202">
        <v>209</v>
      </c>
      <c r="B202">
        <v>1</v>
      </c>
      <c r="C202" t="s">
        <v>485</v>
      </c>
      <c r="D202" t="s">
        <v>17</v>
      </c>
      <c r="E202" t="s">
        <v>477</v>
      </c>
      <c r="F202" s="2">
        <v>4</v>
      </c>
      <c r="G202" s="4">
        <v>2542</v>
      </c>
      <c r="H202" s="4">
        <v>271459</v>
      </c>
      <c r="I202" t="s">
        <v>478</v>
      </c>
      <c r="J202" s="4">
        <v>7</v>
      </c>
      <c r="K202" s="4">
        <v>7</v>
      </c>
      <c r="L202" s="6">
        <v>1</v>
      </c>
      <c r="M202">
        <v>5</v>
      </c>
      <c r="N202">
        <v>2</v>
      </c>
      <c r="O202">
        <v>5</v>
      </c>
      <c r="P202">
        <v>2</v>
      </c>
      <c r="Q202" s="2">
        <v>5</v>
      </c>
      <c r="R202" s="2">
        <v>2</v>
      </c>
      <c r="S202" t="s">
        <v>17</v>
      </c>
    </row>
    <row r="203" spans="1:19" ht="12.75">
      <c r="A203">
        <v>75</v>
      </c>
      <c r="B203">
        <v>1</v>
      </c>
      <c r="C203" t="s">
        <v>189</v>
      </c>
      <c r="D203" t="str">
        <f>HYPERLINK("http://www.ensembl.org/Cavia_porcellus/protview?peptide=ENSCPOP00000005906","P00000005906")</f>
        <v>P00000005906</v>
      </c>
      <c r="F203" s="2">
        <v>7.8</v>
      </c>
      <c r="G203" s="4">
        <v>856</v>
      </c>
      <c r="H203" s="4">
        <v>96233</v>
      </c>
      <c r="I203" t="s">
        <v>190</v>
      </c>
      <c r="J203" s="4">
        <v>7</v>
      </c>
      <c r="K203" s="4">
        <v>7</v>
      </c>
      <c r="L203" s="6">
        <v>1</v>
      </c>
      <c r="M203">
        <v>4</v>
      </c>
      <c r="N203">
        <v>3</v>
      </c>
      <c r="O203">
        <v>4</v>
      </c>
      <c r="P203">
        <v>3</v>
      </c>
      <c r="Q203" s="2">
        <v>4</v>
      </c>
      <c r="R203" s="2">
        <v>3</v>
      </c>
      <c r="S203" t="s">
        <v>17</v>
      </c>
    </row>
    <row r="204" spans="1:19" ht="12.75">
      <c r="A204">
        <v>128</v>
      </c>
      <c r="B204">
        <v>1</v>
      </c>
      <c r="C204" t="s">
        <v>310</v>
      </c>
      <c r="D204" t="str">
        <f>HYPERLINK("http://www.ensembl.org/Cavia_porcellus/protview?peptide=ENSCPOP00000011099","P00000011099")</f>
        <v>P00000011099</v>
      </c>
      <c r="F204" s="2">
        <v>8.3</v>
      </c>
      <c r="G204" s="4">
        <v>836</v>
      </c>
      <c r="H204" s="4">
        <v>93387</v>
      </c>
      <c r="I204" t="s">
        <v>311</v>
      </c>
      <c r="J204" s="4">
        <v>7</v>
      </c>
      <c r="K204" s="4">
        <v>7</v>
      </c>
      <c r="L204" s="6">
        <v>1</v>
      </c>
      <c r="M204">
        <v>4</v>
      </c>
      <c r="N204">
        <v>3</v>
      </c>
      <c r="O204">
        <v>4</v>
      </c>
      <c r="P204">
        <v>3</v>
      </c>
      <c r="Q204" s="2">
        <v>4</v>
      </c>
      <c r="R204" s="2">
        <v>3</v>
      </c>
      <c r="S204" t="s">
        <v>17</v>
      </c>
    </row>
    <row r="205" spans="1:19" ht="12.75">
      <c r="A205">
        <v>191</v>
      </c>
      <c r="B205">
        <v>1</v>
      </c>
      <c r="C205" t="s">
        <v>452</v>
      </c>
      <c r="D205" t="str">
        <f>HYPERLINK("http://www.ensembl.org/Cavia_porcellus/protview?peptide=ENSCPOP00000019378","P00000019378")</f>
        <v>P00000019378</v>
      </c>
      <c r="F205" s="2">
        <v>20</v>
      </c>
      <c r="G205" s="4">
        <v>205</v>
      </c>
      <c r="H205" s="4">
        <v>22947</v>
      </c>
      <c r="I205" t="s">
        <v>453</v>
      </c>
      <c r="J205" s="4">
        <v>7</v>
      </c>
      <c r="K205" s="4">
        <v>7</v>
      </c>
      <c r="L205" s="6">
        <v>1</v>
      </c>
      <c r="M205">
        <v>4</v>
      </c>
      <c r="N205">
        <v>3</v>
      </c>
      <c r="O205">
        <v>4</v>
      </c>
      <c r="P205">
        <v>3</v>
      </c>
      <c r="Q205" s="2">
        <v>4</v>
      </c>
      <c r="R205" s="2">
        <v>3</v>
      </c>
      <c r="S205" t="s">
        <v>17</v>
      </c>
    </row>
    <row r="206" spans="1:19" ht="12.75">
      <c r="A206">
        <v>64</v>
      </c>
      <c r="B206">
        <v>1</v>
      </c>
      <c r="C206" t="s">
        <v>164</v>
      </c>
      <c r="D206" t="str">
        <f>HYPERLINK("http://www.ensembl.org/Cavia_porcellus/protview?peptide=ENSCPOP00000005101","P00000005101")</f>
        <v>P00000005101</v>
      </c>
      <c r="F206" s="2">
        <v>8.3</v>
      </c>
      <c r="G206" s="4">
        <v>768</v>
      </c>
      <c r="H206" s="4">
        <v>89127</v>
      </c>
      <c r="I206" t="s">
        <v>165</v>
      </c>
      <c r="J206" s="4">
        <v>7</v>
      </c>
      <c r="K206" s="4">
        <v>7</v>
      </c>
      <c r="L206" s="6">
        <v>1</v>
      </c>
      <c r="M206">
        <v>3</v>
      </c>
      <c r="N206">
        <v>4</v>
      </c>
      <c r="O206">
        <v>3</v>
      </c>
      <c r="P206">
        <v>4</v>
      </c>
      <c r="Q206" s="2">
        <v>3</v>
      </c>
      <c r="R206" s="2">
        <v>4</v>
      </c>
      <c r="S206" t="s">
        <v>17</v>
      </c>
    </row>
    <row r="207" spans="1:19" ht="12.75">
      <c r="A207">
        <v>131</v>
      </c>
      <c r="B207">
        <v>1</v>
      </c>
      <c r="C207" t="s">
        <v>316</v>
      </c>
      <c r="D207" t="str">
        <f>HYPERLINK("http://www.ensembl.org/Cavia_porcellus/protview?peptide=ENSCPOP00000011185","P00000011185")</f>
        <v>P00000011185</v>
      </c>
      <c r="F207" s="2">
        <v>20</v>
      </c>
      <c r="G207" s="4">
        <v>275</v>
      </c>
      <c r="H207" s="4">
        <v>31087</v>
      </c>
      <c r="I207" t="s">
        <v>317</v>
      </c>
      <c r="J207" s="4">
        <v>7</v>
      </c>
      <c r="K207" s="4">
        <v>7</v>
      </c>
      <c r="L207" s="6">
        <v>1</v>
      </c>
      <c r="M207">
        <v>3</v>
      </c>
      <c r="N207">
        <v>4</v>
      </c>
      <c r="O207">
        <v>3</v>
      </c>
      <c r="P207">
        <v>4</v>
      </c>
      <c r="Q207" s="2">
        <v>3</v>
      </c>
      <c r="R207" s="2">
        <v>4</v>
      </c>
      <c r="S207" t="s">
        <v>17</v>
      </c>
    </row>
    <row r="208" spans="1:19" ht="12.75">
      <c r="A208">
        <v>214</v>
      </c>
      <c r="B208">
        <v>1</v>
      </c>
      <c r="C208" t="s">
        <v>490</v>
      </c>
      <c r="D208" t="s">
        <v>17</v>
      </c>
      <c r="E208" t="s">
        <v>477</v>
      </c>
      <c r="F208" s="2">
        <v>2.5</v>
      </c>
      <c r="G208" s="4">
        <v>2650</v>
      </c>
      <c r="H208" s="4">
        <v>302607</v>
      </c>
      <c r="I208" t="s">
        <v>478</v>
      </c>
      <c r="J208" s="4">
        <v>7</v>
      </c>
      <c r="K208" s="4">
        <v>7</v>
      </c>
      <c r="L208" s="6">
        <v>1</v>
      </c>
      <c r="M208">
        <v>3</v>
      </c>
      <c r="N208">
        <v>4</v>
      </c>
      <c r="O208">
        <v>3</v>
      </c>
      <c r="P208">
        <v>4</v>
      </c>
      <c r="Q208" s="2">
        <v>3</v>
      </c>
      <c r="R208" s="2">
        <v>4</v>
      </c>
      <c r="S208" t="s">
        <v>17</v>
      </c>
    </row>
    <row r="209" spans="1:19" ht="12.75">
      <c r="A209">
        <v>173</v>
      </c>
      <c r="B209">
        <v>1</v>
      </c>
      <c r="C209" t="s">
        <v>411</v>
      </c>
      <c r="D209" t="str">
        <f>HYPERLINK("http://www.ensembl.org/Cavia_porcellus/protview?peptide=ENSCPOP00000016279","P00000016279")</f>
        <v>P00000016279</v>
      </c>
      <c r="F209" s="2">
        <v>8.1</v>
      </c>
      <c r="G209" s="4">
        <v>580</v>
      </c>
      <c r="H209" s="4">
        <v>63654</v>
      </c>
      <c r="I209" t="s">
        <v>412</v>
      </c>
      <c r="J209" s="4">
        <v>7</v>
      </c>
      <c r="K209" s="4">
        <v>7</v>
      </c>
      <c r="L209" s="6">
        <v>1</v>
      </c>
      <c r="M209">
        <v>2</v>
      </c>
      <c r="N209">
        <v>5</v>
      </c>
      <c r="O209">
        <v>2</v>
      </c>
      <c r="P209">
        <v>5</v>
      </c>
      <c r="Q209" s="2">
        <v>2</v>
      </c>
      <c r="R209" s="2">
        <v>5</v>
      </c>
      <c r="S209" t="s">
        <v>17</v>
      </c>
    </row>
    <row r="210" spans="1:19" ht="12.75">
      <c r="A210">
        <v>100</v>
      </c>
      <c r="B210">
        <v>1</v>
      </c>
      <c r="C210" t="s">
        <v>244</v>
      </c>
      <c r="D210" t="str">
        <f>HYPERLINK("http://www.ensembl.org/Cavia_porcellus/protview?peptide=ENSCPOP00000008445","P00000008445")</f>
        <v>P00000008445</v>
      </c>
      <c r="F210" s="2">
        <v>8.4</v>
      </c>
      <c r="G210" s="4">
        <v>550</v>
      </c>
      <c r="H210" s="4">
        <v>59827</v>
      </c>
      <c r="I210" t="s">
        <v>245</v>
      </c>
      <c r="J210" s="4">
        <v>7</v>
      </c>
      <c r="K210" s="4">
        <v>7</v>
      </c>
      <c r="L210" s="6">
        <v>1</v>
      </c>
      <c r="M210">
        <v>1</v>
      </c>
      <c r="N210">
        <v>6</v>
      </c>
      <c r="O210">
        <v>1</v>
      </c>
      <c r="P210">
        <v>6</v>
      </c>
      <c r="Q210" s="2">
        <v>1</v>
      </c>
      <c r="R210" s="2">
        <v>6</v>
      </c>
      <c r="S210" t="s">
        <v>17</v>
      </c>
    </row>
    <row r="211" spans="1:19" ht="12.75">
      <c r="A211">
        <v>184</v>
      </c>
      <c r="B211">
        <v>1</v>
      </c>
      <c r="C211" t="s">
        <v>438</v>
      </c>
      <c r="D211" t="str">
        <f>HYPERLINK("http://www.ensembl.org/Cavia_porcellus/protview?peptide=ENSCPOP00000018331","P00000018331")</f>
        <v>P00000018331</v>
      </c>
      <c r="F211" s="2">
        <v>21.5</v>
      </c>
      <c r="G211" s="4">
        <v>261</v>
      </c>
      <c r="H211" s="4">
        <v>29508</v>
      </c>
      <c r="I211" t="s">
        <v>439</v>
      </c>
      <c r="J211" s="4">
        <v>6</v>
      </c>
      <c r="K211" s="4">
        <v>6</v>
      </c>
      <c r="L211" s="6">
        <v>1</v>
      </c>
      <c r="M211">
        <v>5</v>
      </c>
      <c r="N211">
        <v>1</v>
      </c>
      <c r="O211">
        <v>5</v>
      </c>
      <c r="P211">
        <v>1</v>
      </c>
      <c r="Q211" s="2">
        <v>5</v>
      </c>
      <c r="R211" s="2">
        <v>1</v>
      </c>
      <c r="S211" t="s">
        <v>17</v>
      </c>
    </row>
    <row r="212" spans="1:19" ht="12.75">
      <c r="A212">
        <v>43</v>
      </c>
      <c r="B212">
        <v>1</v>
      </c>
      <c r="C212" t="s">
        <v>120</v>
      </c>
      <c r="D212" t="str">
        <f>HYPERLINK("http://www.ensembl.org/Cavia_porcellus/protview?peptide=ENSCPOP00000002993","P00000002993")</f>
        <v>P00000002993</v>
      </c>
      <c r="F212" s="2">
        <v>10.2</v>
      </c>
      <c r="G212" s="4">
        <v>315</v>
      </c>
      <c r="H212" s="4">
        <v>36109</v>
      </c>
      <c r="I212" t="s">
        <v>121</v>
      </c>
      <c r="J212" s="4">
        <v>6</v>
      </c>
      <c r="K212" s="4">
        <v>6</v>
      </c>
      <c r="L212" s="6">
        <v>1</v>
      </c>
      <c r="M212">
        <v>3</v>
      </c>
      <c r="N212">
        <v>3</v>
      </c>
      <c r="O212">
        <v>3</v>
      </c>
      <c r="P212">
        <v>3</v>
      </c>
      <c r="Q212" s="2">
        <v>3</v>
      </c>
      <c r="R212" s="2">
        <v>3</v>
      </c>
      <c r="S212" t="s">
        <v>17</v>
      </c>
    </row>
    <row r="213" spans="1:19" ht="12.75">
      <c r="A213">
        <v>85</v>
      </c>
      <c r="B213">
        <v>1</v>
      </c>
      <c r="C213" t="s">
        <v>212</v>
      </c>
      <c r="D213" t="str">
        <f>HYPERLINK("http://www.ensembl.org/Cavia_porcellus/protview?peptide=ENSCPOP00000006916","P00000006916")</f>
        <v>P00000006916</v>
      </c>
      <c r="F213" s="2">
        <v>30.4</v>
      </c>
      <c r="G213" s="4">
        <v>289</v>
      </c>
      <c r="H213" s="4">
        <v>33375</v>
      </c>
      <c r="I213" t="s">
        <v>213</v>
      </c>
      <c r="J213" s="4">
        <v>6</v>
      </c>
      <c r="K213" s="4">
        <v>6</v>
      </c>
      <c r="L213" s="6">
        <v>1</v>
      </c>
      <c r="M213">
        <v>3</v>
      </c>
      <c r="N213">
        <v>3</v>
      </c>
      <c r="O213">
        <v>3</v>
      </c>
      <c r="P213">
        <v>3</v>
      </c>
      <c r="Q213" s="2">
        <v>3</v>
      </c>
      <c r="R213" s="2">
        <v>3</v>
      </c>
      <c r="S213" t="s">
        <v>17</v>
      </c>
    </row>
    <row r="214" spans="1:19" ht="12.75">
      <c r="A214">
        <v>59</v>
      </c>
      <c r="B214">
        <v>1</v>
      </c>
      <c r="C214" t="s">
        <v>154</v>
      </c>
      <c r="D214" t="str">
        <f>HYPERLINK("http://www.ensembl.org/Cavia_porcellus/protview?peptide=ENSCPOP00000004550","P00000004550")</f>
        <v>P00000004550</v>
      </c>
      <c r="F214" s="2">
        <v>6.2</v>
      </c>
      <c r="G214" s="4">
        <v>1134</v>
      </c>
      <c r="H214" s="4">
        <v>123804</v>
      </c>
      <c r="I214" t="s">
        <v>155</v>
      </c>
      <c r="J214" s="4">
        <v>6</v>
      </c>
      <c r="K214" s="4">
        <v>6</v>
      </c>
      <c r="L214" s="6">
        <v>1</v>
      </c>
      <c r="M214">
        <v>2</v>
      </c>
      <c r="N214">
        <v>4</v>
      </c>
      <c r="O214">
        <v>2</v>
      </c>
      <c r="P214">
        <v>4</v>
      </c>
      <c r="Q214" s="2">
        <v>2</v>
      </c>
      <c r="R214" s="2">
        <v>4</v>
      </c>
      <c r="S214" t="s">
        <v>17</v>
      </c>
    </row>
    <row r="215" spans="1:19" ht="12.75">
      <c r="A215">
        <v>44</v>
      </c>
      <c r="B215">
        <v>1</v>
      </c>
      <c r="C215" t="s">
        <v>122</v>
      </c>
      <c r="D215" t="str">
        <f>HYPERLINK("http://www.ensembl.org/Cavia_porcellus/protview?peptide=ENSCPOP00000003075","P00000003075")</f>
        <v>P00000003075</v>
      </c>
      <c r="F215" s="2">
        <v>8.8</v>
      </c>
      <c r="G215" s="4">
        <v>565</v>
      </c>
      <c r="H215" s="4">
        <v>66393</v>
      </c>
      <c r="I215" t="s">
        <v>123</v>
      </c>
      <c r="J215" s="4">
        <v>6</v>
      </c>
      <c r="K215" s="4">
        <v>1</v>
      </c>
      <c r="L215" s="6">
        <v>0.167</v>
      </c>
      <c r="M215">
        <v>3</v>
      </c>
      <c r="N215">
        <v>3</v>
      </c>
      <c r="O215">
        <v>1</v>
      </c>
      <c r="P215">
        <v>0</v>
      </c>
      <c r="Q215" s="2">
        <v>1.25</v>
      </c>
      <c r="R215" s="2">
        <v>0</v>
      </c>
      <c r="S215" t="s">
        <v>124</v>
      </c>
    </row>
    <row r="216" spans="1:19" ht="12.75">
      <c r="A216">
        <v>150</v>
      </c>
      <c r="B216">
        <v>1</v>
      </c>
      <c r="C216" t="s">
        <v>358</v>
      </c>
      <c r="D216" t="str">
        <f>HYPERLINK("http://www.ensembl.org/Cavia_porcellus/protview?peptide=ENSCPOP00000012764","P00000012764")</f>
        <v>P00000012764</v>
      </c>
      <c r="F216" s="2">
        <v>19.8</v>
      </c>
      <c r="G216" s="4">
        <v>247</v>
      </c>
      <c r="H216" s="4">
        <v>27841</v>
      </c>
      <c r="I216" t="s">
        <v>359</v>
      </c>
      <c r="J216" s="4">
        <v>5</v>
      </c>
      <c r="K216" s="4">
        <v>5</v>
      </c>
      <c r="L216" s="6">
        <v>1</v>
      </c>
      <c r="M216">
        <v>5</v>
      </c>
      <c r="N216">
        <v>0</v>
      </c>
      <c r="O216">
        <v>5</v>
      </c>
      <c r="P216">
        <v>0</v>
      </c>
      <c r="Q216" s="2">
        <v>5</v>
      </c>
      <c r="R216" s="2">
        <v>0</v>
      </c>
      <c r="S216" t="s">
        <v>17</v>
      </c>
    </row>
    <row r="217" spans="1:19" ht="12.75">
      <c r="A217">
        <v>204</v>
      </c>
      <c r="B217">
        <v>1</v>
      </c>
      <c r="C217" t="s">
        <v>480</v>
      </c>
      <c r="D217" t="s">
        <v>17</v>
      </c>
      <c r="E217" t="s">
        <v>477</v>
      </c>
      <c r="F217" s="2">
        <v>12.7</v>
      </c>
      <c r="G217" s="4">
        <v>377</v>
      </c>
      <c r="H217" s="4">
        <v>42020</v>
      </c>
      <c r="I217" t="s">
        <v>478</v>
      </c>
      <c r="J217" s="4">
        <v>5</v>
      </c>
      <c r="K217" s="4">
        <v>5</v>
      </c>
      <c r="L217" s="6">
        <v>1</v>
      </c>
      <c r="M217">
        <v>5</v>
      </c>
      <c r="N217">
        <v>0</v>
      </c>
      <c r="O217">
        <v>5</v>
      </c>
      <c r="P217">
        <v>0</v>
      </c>
      <c r="Q217" s="2">
        <v>5</v>
      </c>
      <c r="R217" s="2">
        <v>0</v>
      </c>
      <c r="S217" t="s">
        <v>17</v>
      </c>
    </row>
    <row r="218" spans="1:19" ht="12.75">
      <c r="A218">
        <v>16</v>
      </c>
      <c r="B218">
        <v>1</v>
      </c>
      <c r="C218" t="s">
        <v>60</v>
      </c>
      <c r="D218" t="str">
        <f>HYPERLINK("http://www.ensembl.org/Cavia_porcellus/protview?peptide=ENSCPOP00000000373","P00000000373")</f>
        <v>P00000000373</v>
      </c>
      <c r="F218" s="2">
        <v>11.2</v>
      </c>
      <c r="G218" s="4">
        <v>259</v>
      </c>
      <c r="H218" s="4">
        <v>29966</v>
      </c>
      <c r="I218" t="s">
        <v>61</v>
      </c>
      <c r="J218" s="4">
        <v>5</v>
      </c>
      <c r="K218" s="4">
        <v>5</v>
      </c>
      <c r="L218" s="6">
        <v>1</v>
      </c>
      <c r="M218">
        <v>4</v>
      </c>
      <c r="N218">
        <v>1</v>
      </c>
      <c r="O218">
        <v>4</v>
      </c>
      <c r="P218">
        <v>1</v>
      </c>
      <c r="Q218" s="2">
        <v>4</v>
      </c>
      <c r="R218" s="2">
        <v>1</v>
      </c>
      <c r="S218" t="s">
        <v>17</v>
      </c>
    </row>
    <row r="219" spans="1:19" ht="12.75">
      <c r="A219">
        <v>111</v>
      </c>
      <c r="B219">
        <v>1</v>
      </c>
      <c r="C219" t="s">
        <v>271</v>
      </c>
      <c r="D219" t="str">
        <f>HYPERLINK("http://www.ensembl.org/Cavia_porcellus/protview?peptide=ENSCPOP00000009730","P00000009730")</f>
        <v>P00000009730</v>
      </c>
      <c r="F219" s="2">
        <v>10.6</v>
      </c>
      <c r="G219" s="4">
        <v>423</v>
      </c>
      <c r="H219" s="4">
        <v>46467</v>
      </c>
      <c r="I219" t="s">
        <v>272</v>
      </c>
      <c r="J219" s="4">
        <v>5</v>
      </c>
      <c r="K219" s="4">
        <v>5</v>
      </c>
      <c r="L219" s="6">
        <v>1</v>
      </c>
      <c r="M219">
        <v>4</v>
      </c>
      <c r="N219">
        <v>1</v>
      </c>
      <c r="O219">
        <v>4</v>
      </c>
      <c r="P219">
        <v>1</v>
      </c>
      <c r="Q219" s="2">
        <v>4</v>
      </c>
      <c r="R219" s="2">
        <v>1</v>
      </c>
      <c r="S219" t="s">
        <v>17</v>
      </c>
    </row>
    <row r="220" spans="1:19" ht="12.75">
      <c r="A220">
        <v>162</v>
      </c>
      <c r="B220">
        <v>1</v>
      </c>
      <c r="C220" t="s">
        <v>384</v>
      </c>
      <c r="D220" t="str">
        <f>HYPERLINK("http://www.ensembl.org/Cavia_porcellus/protview?peptide=ENSCPOP00000014456","P00000014456")</f>
        <v>P00000014456</v>
      </c>
      <c r="F220" s="2">
        <v>19.6</v>
      </c>
      <c r="G220" s="4">
        <v>357</v>
      </c>
      <c r="H220" s="4">
        <v>38033</v>
      </c>
      <c r="I220" t="s">
        <v>385</v>
      </c>
      <c r="J220" s="4">
        <v>5</v>
      </c>
      <c r="K220" s="4">
        <v>5</v>
      </c>
      <c r="L220" s="6">
        <v>1</v>
      </c>
      <c r="M220">
        <v>4</v>
      </c>
      <c r="N220">
        <v>1</v>
      </c>
      <c r="O220">
        <v>4</v>
      </c>
      <c r="P220">
        <v>1</v>
      </c>
      <c r="Q220" s="2">
        <v>4</v>
      </c>
      <c r="R220" s="2">
        <v>1</v>
      </c>
      <c r="S220" t="s">
        <v>17</v>
      </c>
    </row>
    <row r="221" spans="1:19" ht="12.75">
      <c r="A221">
        <v>83</v>
      </c>
      <c r="B221">
        <v>1</v>
      </c>
      <c r="C221" t="s">
        <v>207</v>
      </c>
      <c r="D221" t="str">
        <f>HYPERLINK("http://www.ensembl.org/Cavia_porcellus/protview?peptide=ENSCPOP00000006535","P00000006535")</f>
        <v>P00000006535</v>
      </c>
      <c r="F221" s="2">
        <v>4.9</v>
      </c>
      <c r="G221" s="4">
        <v>859</v>
      </c>
      <c r="H221" s="4">
        <v>96767</v>
      </c>
      <c r="I221" t="s">
        <v>208</v>
      </c>
      <c r="J221" s="4">
        <v>5</v>
      </c>
      <c r="K221" s="4">
        <v>5</v>
      </c>
      <c r="L221" s="6">
        <v>1</v>
      </c>
      <c r="M221">
        <v>3</v>
      </c>
      <c r="N221">
        <v>2</v>
      </c>
      <c r="O221">
        <v>3</v>
      </c>
      <c r="P221">
        <v>2</v>
      </c>
      <c r="Q221" s="2">
        <v>3</v>
      </c>
      <c r="R221" s="2">
        <v>2</v>
      </c>
      <c r="S221" t="s">
        <v>17</v>
      </c>
    </row>
    <row r="222" spans="1:19" ht="12.75">
      <c r="A222">
        <v>116</v>
      </c>
      <c r="B222">
        <v>1</v>
      </c>
      <c r="C222" t="s">
        <v>281</v>
      </c>
      <c r="D222" t="str">
        <f>HYPERLINK("http://www.ensembl.org/Cavia_porcellus/protview?peptide=ENSCPOP00000010055","P00000010055")</f>
        <v>P00000010055</v>
      </c>
      <c r="F222" s="2">
        <v>9.3</v>
      </c>
      <c r="G222" s="4">
        <v>408</v>
      </c>
      <c r="H222" s="4">
        <v>46490</v>
      </c>
      <c r="I222" t="s">
        <v>282</v>
      </c>
      <c r="J222" s="4">
        <v>5</v>
      </c>
      <c r="K222" s="4">
        <v>5</v>
      </c>
      <c r="L222" s="6">
        <v>1</v>
      </c>
      <c r="M222">
        <v>3</v>
      </c>
      <c r="N222">
        <v>2</v>
      </c>
      <c r="O222">
        <v>3</v>
      </c>
      <c r="P222">
        <v>2</v>
      </c>
      <c r="Q222" s="2">
        <v>3</v>
      </c>
      <c r="R222" s="2">
        <v>2</v>
      </c>
      <c r="S222" t="s">
        <v>17</v>
      </c>
    </row>
    <row r="223" spans="1:19" ht="12.75">
      <c r="A223">
        <v>143</v>
      </c>
      <c r="B223">
        <v>1</v>
      </c>
      <c r="C223" t="s">
        <v>343</v>
      </c>
      <c r="D223" t="str">
        <f>HYPERLINK("http://www.ensembl.org/Cavia_porcellus/protview?peptide=ENSCPOP00000012254","P00000012254")</f>
        <v>P00000012254</v>
      </c>
      <c r="F223" s="2">
        <v>6.9</v>
      </c>
      <c r="G223" s="4">
        <v>592</v>
      </c>
      <c r="H223" s="4">
        <v>66271</v>
      </c>
      <c r="I223" t="s">
        <v>344</v>
      </c>
      <c r="J223" s="4">
        <v>5</v>
      </c>
      <c r="K223" s="4">
        <v>5</v>
      </c>
      <c r="L223" s="6">
        <v>1</v>
      </c>
      <c r="M223">
        <v>3</v>
      </c>
      <c r="N223">
        <v>2</v>
      </c>
      <c r="O223">
        <v>3</v>
      </c>
      <c r="P223">
        <v>2</v>
      </c>
      <c r="Q223" s="2">
        <v>3</v>
      </c>
      <c r="R223" s="2">
        <v>2</v>
      </c>
      <c r="S223" t="s">
        <v>17</v>
      </c>
    </row>
    <row r="224" spans="1:19" ht="12.75">
      <c r="A224">
        <v>206</v>
      </c>
      <c r="B224">
        <v>1</v>
      </c>
      <c r="C224" t="s">
        <v>482</v>
      </c>
      <c r="D224" t="s">
        <v>17</v>
      </c>
      <c r="E224" t="s">
        <v>477</v>
      </c>
      <c r="F224" s="2">
        <v>6.6</v>
      </c>
      <c r="G224" s="4">
        <v>1134</v>
      </c>
      <c r="H224" s="4">
        <v>123804</v>
      </c>
      <c r="I224" t="s">
        <v>478</v>
      </c>
      <c r="J224" s="4">
        <v>5</v>
      </c>
      <c r="K224" s="4">
        <v>5</v>
      </c>
      <c r="L224" s="6">
        <v>1</v>
      </c>
      <c r="M224">
        <v>3</v>
      </c>
      <c r="N224">
        <v>2</v>
      </c>
      <c r="O224">
        <v>3</v>
      </c>
      <c r="P224">
        <v>2</v>
      </c>
      <c r="Q224" s="2">
        <v>3</v>
      </c>
      <c r="R224" s="2">
        <v>2</v>
      </c>
      <c r="S224" t="s">
        <v>17</v>
      </c>
    </row>
    <row r="225" spans="1:19" ht="12.75">
      <c r="A225">
        <v>15</v>
      </c>
      <c r="B225">
        <v>1</v>
      </c>
      <c r="C225" t="s">
        <v>57</v>
      </c>
      <c r="D225" t="str">
        <f>HYPERLINK("http://www.ensembl.org/Cavia_porcellus/protview?peptide=ENSCPOP00000000368","P00000000368")</f>
        <v>P00000000368</v>
      </c>
      <c r="F225" s="2">
        <v>15.8</v>
      </c>
      <c r="G225" s="4">
        <v>349</v>
      </c>
      <c r="H225" s="4">
        <v>37601</v>
      </c>
      <c r="I225" t="s">
        <v>58</v>
      </c>
      <c r="J225" s="4">
        <v>5</v>
      </c>
      <c r="K225" s="4">
        <v>4</v>
      </c>
      <c r="L225" s="6">
        <v>0.8</v>
      </c>
      <c r="M225">
        <v>3</v>
      </c>
      <c r="N225">
        <v>2</v>
      </c>
      <c r="O225">
        <v>2</v>
      </c>
      <c r="P225">
        <v>2</v>
      </c>
      <c r="Q225" s="2">
        <v>2.048</v>
      </c>
      <c r="R225" s="2">
        <v>2</v>
      </c>
      <c r="S225" t="s">
        <v>59</v>
      </c>
    </row>
    <row r="226" spans="1:19" ht="12.75">
      <c r="A226">
        <v>104</v>
      </c>
      <c r="B226">
        <v>1</v>
      </c>
      <c r="C226" t="s">
        <v>253</v>
      </c>
      <c r="D226" t="str">
        <f>HYPERLINK("http://www.ensembl.org/Cavia_porcellus/protview?peptide=ENSCPOP00000008705","P00000008705")</f>
        <v>P00000008705</v>
      </c>
      <c r="F226" s="2">
        <v>9.7</v>
      </c>
      <c r="G226" s="4">
        <v>351</v>
      </c>
      <c r="H226" s="4">
        <v>41029</v>
      </c>
      <c r="I226" t="s">
        <v>254</v>
      </c>
      <c r="J226" s="4">
        <v>5</v>
      </c>
      <c r="K226" s="4">
        <v>5</v>
      </c>
      <c r="L226" s="6">
        <v>1</v>
      </c>
      <c r="M226">
        <v>2</v>
      </c>
      <c r="N226">
        <v>3</v>
      </c>
      <c r="O226">
        <v>2</v>
      </c>
      <c r="P226">
        <v>3</v>
      </c>
      <c r="Q226" s="2">
        <v>2</v>
      </c>
      <c r="R226" s="2">
        <v>3</v>
      </c>
      <c r="S226" t="s">
        <v>17</v>
      </c>
    </row>
    <row r="227" spans="1:19" ht="12.75">
      <c r="A227">
        <v>104.01</v>
      </c>
      <c r="B227">
        <v>1</v>
      </c>
      <c r="C227" t="s">
        <v>255</v>
      </c>
      <c r="D227" t="str">
        <f>HYPERLINK("http://www.ensembl.org/Cavia_porcellus/protview?peptide=ENSCPOP00000016885","P00000016885")</f>
        <v>P00000016885</v>
      </c>
      <c r="E227" t="s">
        <v>34</v>
      </c>
      <c r="F227" s="2">
        <v>10.1</v>
      </c>
      <c r="G227" s="4">
        <v>337</v>
      </c>
      <c r="H227" s="4">
        <v>39166</v>
      </c>
      <c r="I227" t="s">
        <v>256</v>
      </c>
      <c r="J227" s="4">
        <v>5</v>
      </c>
      <c r="K227" s="4">
        <v>5</v>
      </c>
      <c r="L227" s="6">
        <v>1</v>
      </c>
      <c r="M227">
        <v>2</v>
      </c>
      <c r="N227">
        <v>3</v>
      </c>
      <c r="O227">
        <v>2</v>
      </c>
      <c r="P227">
        <v>3</v>
      </c>
      <c r="Q227" s="2">
        <v>2</v>
      </c>
      <c r="R227" s="2">
        <v>3</v>
      </c>
      <c r="S227" t="s">
        <v>17</v>
      </c>
    </row>
    <row r="228" spans="1:19" ht="12.75">
      <c r="A228">
        <v>65</v>
      </c>
      <c r="B228">
        <v>1</v>
      </c>
      <c r="C228" t="s">
        <v>166</v>
      </c>
      <c r="D228" t="str">
        <f>HYPERLINK("http://www.ensembl.org/Cavia_porcellus/protview?peptide=ENSCPOP00000005182","P00000005182")</f>
        <v>P00000005182</v>
      </c>
      <c r="F228" s="2">
        <v>12.3</v>
      </c>
      <c r="G228" s="4">
        <v>464</v>
      </c>
      <c r="H228" s="4">
        <v>50574</v>
      </c>
      <c r="I228" t="s">
        <v>167</v>
      </c>
      <c r="J228" s="4">
        <v>5</v>
      </c>
      <c r="K228" s="4">
        <v>5</v>
      </c>
      <c r="L228" s="6">
        <v>1</v>
      </c>
      <c r="M228">
        <v>1</v>
      </c>
      <c r="N228">
        <v>4</v>
      </c>
      <c r="O228">
        <v>1</v>
      </c>
      <c r="P228">
        <v>4</v>
      </c>
      <c r="Q228" s="2">
        <v>1</v>
      </c>
      <c r="R228" s="2">
        <v>4</v>
      </c>
      <c r="S228" t="s">
        <v>17</v>
      </c>
    </row>
    <row r="229" spans="1:19" ht="12.75">
      <c r="A229">
        <v>81</v>
      </c>
      <c r="B229">
        <v>1</v>
      </c>
      <c r="C229" t="s">
        <v>202</v>
      </c>
      <c r="D229" t="str">
        <f>HYPERLINK("http://www.ensembl.org/Cavia_porcellus/protview?peptide=ENSCPOP00000006403","P00000006403")</f>
        <v>P00000006403</v>
      </c>
      <c r="F229" s="2">
        <v>5.6</v>
      </c>
      <c r="G229" s="4">
        <v>571</v>
      </c>
      <c r="H229" s="4">
        <v>66941</v>
      </c>
      <c r="I229" t="s">
        <v>203</v>
      </c>
      <c r="J229" s="4">
        <v>5</v>
      </c>
      <c r="K229" s="4">
        <v>1</v>
      </c>
      <c r="L229" s="6">
        <v>0.2</v>
      </c>
      <c r="M229">
        <v>2</v>
      </c>
      <c r="N229">
        <v>3</v>
      </c>
      <c r="O229">
        <v>0</v>
      </c>
      <c r="P229">
        <v>1</v>
      </c>
      <c r="Q229" s="2">
        <v>0</v>
      </c>
      <c r="R229" s="2">
        <v>1.286</v>
      </c>
      <c r="S229" t="s">
        <v>124</v>
      </c>
    </row>
    <row r="230" spans="1:19" ht="12.75">
      <c r="A230">
        <v>11</v>
      </c>
      <c r="B230">
        <v>1</v>
      </c>
      <c r="C230" t="s">
        <v>46</v>
      </c>
      <c r="D230" t="str">
        <f>HYPERLINK("http://www.ensembl.org/Cavia_porcellus/protview?peptide=ENSCPOP00000000043","P00000000043")</f>
        <v>P00000000043</v>
      </c>
      <c r="F230" s="2">
        <v>18.2</v>
      </c>
      <c r="G230" s="4">
        <v>274</v>
      </c>
      <c r="H230" s="4">
        <v>28705</v>
      </c>
      <c r="I230" t="s">
        <v>47</v>
      </c>
      <c r="J230" s="4">
        <v>4</v>
      </c>
      <c r="K230" s="4">
        <v>4</v>
      </c>
      <c r="L230" s="6">
        <v>1</v>
      </c>
      <c r="M230">
        <v>3</v>
      </c>
      <c r="N230">
        <v>1</v>
      </c>
      <c r="O230">
        <v>3</v>
      </c>
      <c r="P230">
        <v>1</v>
      </c>
      <c r="Q230" s="2">
        <v>3</v>
      </c>
      <c r="R230" s="2">
        <v>1</v>
      </c>
      <c r="S230" t="s">
        <v>17</v>
      </c>
    </row>
    <row r="231" spans="1:19" ht="12.75">
      <c r="A231">
        <v>30</v>
      </c>
      <c r="B231">
        <v>1</v>
      </c>
      <c r="C231" t="s">
        <v>90</v>
      </c>
      <c r="D231" t="str">
        <f>HYPERLINK("http://www.ensembl.org/Cavia_porcellus/protview?peptide=ENSCPOP00000002102","P00000002102")</f>
        <v>P00000002102</v>
      </c>
      <c r="F231" s="2">
        <v>7.1</v>
      </c>
      <c r="G231" s="4">
        <v>814</v>
      </c>
      <c r="H231" s="4">
        <v>92085</v>
      </c>
      <c r="I231" t="s">
        <v>91</v>
      </c>
      <c r="J231" s="4">
        <v>4</v>
      </c>
      <c r="K231" s="4">
        <v>4</v>
      </c>
      <c r="L231" s="6">
        <v>1</v>
      </c>
      <c r="M231">
        <v>3</v>
      </c>
      <c r="N231">
        <v>1</v>
      </c>
      <c r="O231">
        <v>3</v>
      </c>
      <c r="P231">
        <v>1</v>
      </c>
      <c r="Q231" s="2">
        <v>3</v>
      </c>
      <c r="R231" s="2">
        <v>1</v>
      </c>
      <c r="S231" t="s">
        <v>17</v>
      </c>
    </row>
    <row r="232" spans="1:19" ht="12.75">
      <c r="A232">
        <v>198</v>
      </c>
      <c r="B232">
        <v>1</v>
      </c>
      <c r="C232" t="s">
        <v>466</v>
      </c>
      <c r="D232" t="str">
        <f>HYPERLINK("http://www.ensembl.org/Cavia_porcellus/protview?peptide=ENSCPOP00000020285","P00000020285")</f>
        <v>P00000020285</v>
      </c>
      <c r="F232" s="2">
        <v>16.6</v>
      </c>
      <c r="G232" s="4">
        <v>271</v>
      </c>
      <c r="H232" s="4">
        <v>31271</v>
      </c>
      <c r="I232" t="s">
        <v>467</v>
      </c>
      <c r="J232" s="4">
        <v>4</v>
      </c>
      <c r="K232" s="4">
        <v>4</v>
      </c>
      <c r="L232" s="6">
        <v>1</v>
      </c>
      <c r="M232">
        <v>3</v>
      </c>
      <c r="N232">
        <v>1</v>
      </c>
      <c r="O232">
        <v>3</v>
      </c>
      <c r="P232">
        <v>1</v>
      </c>
      <c r="Q232" s="2">
        <v>3</v>
      </c>
      <c r="R232" s="2">
        <v>1</v>
      </c>
      <c r="S232" t="s">
        <v>17</v>
      </c>
    </row>
    <row r="233" spans="1:19" ht="12.75">
      <c r="A233">
        <v>212</v>
      </c>
      <c r="B233">
        <v>1</v>
      </c>
      <c r="C233" t="s">
        <v>488</v>
      </c>
      <c r="D233" t="s">
        <v>17</v>
      </c>
      <c r="E233" t="s">
        <v>477</v>
      </c>
      <c r="F233" s="2">
        <v>7.6</v>
      </c>
      <c r="G233" s="4">
        <v>893</v>
      </c>
      <c r="H233" s="4">
        <v>98217</v>
      </c>
      <c r="I233" t="s">
        <v>478</v>
      </c>
      <c r="J233" s="4">
        <v>4</v>
      </c>
      <c r="K233" s="4">
        <v>4</v>
      </c>
      <c r="L233" s="6">
        <v>1</v>
      </c>
      <c r="M233">
        <v>3</v>
      </c>
      <c r="N233">
        <v>1</v>
      </c>
      <c r="O233">
        <v>3</v>
      </c>
      <c r="P233">
        <v>1</v>
      </c>
      <c r="Q233" s="2">
        <v>3</v>
      </c>
      <c r="R233" s="2">
        <v>1</v>
      </c>
      <c r="S233" t="s">
        <v>17</v>
      </c>
    </row>
    <row r="234" spans="1:19" ht="12.75">
      <c r="A234">
        <v>213</v>
      </c>
      <c r="B234">
        <v>1</v>
      </c>
      <c r="C234" t="s">
        <v>489</v>
      </c>
      <c r="D234" t="s">
        <v>17</v>
      </c>
      <c r="E234" t="s">
        <v>477</v>
      </c>
      <c r="F234" s="2">
        <v>2.9</v>
      </c>
      <c r="G234" s="4">
        <v>1741</v>
      </c>
      <c r="H234" s="4">
        <v>202253</v>
      </c>
      <c r="I234" t="s">
        <v>478</v>
      </c>
      <c r="J234" s="4">
        <v>4</v>
      </c>
      <c r="K234" s="4">
        <v>4</v>
      </c>
      <c r="L234" s="6">
        <v>1</v>
      </c>
      <c r="M234">
        <v>3</v>
      </c>
      <c r="N234">
        <v>1</v>
      </c>
      <c r="O234">
        <v>3</v>
      </c>
      <c r="P234">
        <v>1</v>
      </c>
      <c r="Q234" s="2">
        <v>3</v>
      </c>
      <c r="R234" s="2">
        <v>1</v>
      </c>
      <c r="S234" t="s">
        <v>17</v>
      </c>
    </row>
    <row r="235" spans="1:19" ht="12.75">
      <c r="A235">
        <v>216</v>
      </c>
      <c r="B235">
        <v>1</v>
      </c>
      <c r="C235" t="s">
        <v>492</v>
      </c>
      <c r="D235" t="s">
        <v>17</v>
      </c>
      <c r="E235" t="s">
        <v>477</v>
      </c>
      <c r="F235" s="2">
        <v>23.4</v>
      </c>
      <c r="G235" s="4">
        <v>175</v>
      </c>
      <c r="H235" s="4">
        <v>20166</v>
      </c>
      <c r="I235" t="s">
        <v>478</v>
      </c>
      <c r="J235" s="4">
        <v>4</v>
      </c>
      <c r="K235" s="4">
        <v>4</v>
      </c>
      <c r="L235" s="6">
        <v>1</v>
      </c>
      <c r="M235">
        <v>3</v>
      </c>
      <c r="N235">
        <v>1</v>
      </c>
      <c r="O235">
        <v>3</v>
      </c>
      <c r="P235">
        <v>1</v>
      </c>
      <c r="Q235" s="2">
        <v>3</v>
      </c>
      <c r="R235" s="2">
        <v>1</v>
      </c>
      <c r="S235" t="s">
        <v>17</v>
      </c>
    </row>
    <row r="236" spans="1:19" ht="12.75">
      <c r="A236">
        <v>119</v>
      </c>
      <c r="B236">
        <v>1</v>
      </c>
      <c r="C236" t="s">
        <v>288</v>
      </c>
      <c r="D236" t="str">
        <f>HYPERLINK("http://www.ensembl.org/Cavia_porcellus/protview?peptide=ENSCPOP00000010434","P00000010434")</f>
        <v>P00000010434</v>
      </c>
      <c r="F236" s="2">
        <v>5.7</v>
      </c>
      <c r="G236" s="4">
        <v>1136</v>
      </c>
      <c r="H236" s="4">
        <v>122278</v>
      </c>
      <c r="I236" t="s">
        <v>289</v>
      </c>
      <c r="J236" s="4">
        <v>3</v>
      </c>
      <c r="K236" s="4">
        <v>3</v>
      </c>
      <c r="L236" s="6">
        <v>1</v>
      </c>
      <c r="M236">
        <v>3</v>
      </c>
      <c r="N236">
        <v>0</v>
      </c>
      <c r="O236">
        <v>3</v>
      </c>
      <c r="P236">
        <v>0</v>
      </c>
      <c r="Q236" s="2">
        <v>3</v>
      </c>
      <c r="R236" s="2">
        <v>0</v>
      </c>
      <c r="S236" t="s">
        <v>17</v>
      </c>
    </row>
    <row r="237" spans="1:19" ht="12.75">
      <c r="A237">
        <v>193</v>
      </c>
      <c r="B237">
        <v>1</v>
      </c>
      <c r="C237" t="s">
        <v>456</v>
      </c>
      <c r="D237" t="str">
        <f>HYPERLINK("http://www.ensembl.org/Cavia_porcellus/protview?peptide=ENSCPOP00000019558","P00000019558")</f>
        <v>P00000019558</v>
      </c>
      <c r="F237" s="2">
        <v>13.8</v>
      </c>
      <c r="G237" s="4">
        <v>218</v>
      </c>
      <c r="H237" s="4">
        <v>24462</v>
      </c>
      <c r="I237" t="s">
        <v>457</v>
      </c>
      <c r="J237" s="4">
        <v>3</v>
      </c>
      <c r="K237" s="4">
        <v>3</v>
      </c>
      <c r="L237" s="6">
        <v>1</v>
      </c>
      <c r="M237">
        <v>0</v>
      </c>
      <c r="N237">
        <v>3</v>
      </c>
      <c r="O237">
        <v>0</v>
      </c>
      <c r="P237">
        <v>3</v>
      </c>
      <c r="Q237" s="2">
        <v>0</v>
      </c>
      <c r="R237" s="2">
        <v>3</v>
      </c>
      <c r="S237" t="s">
        <v>17</v>
      </c>
    </row>
    <row r="238" spans="1:19" ht="12.75">
      <c r="A238">
        <v>210</v>
      </c>
      <c r="B238">
        <v>1</v>
      </c>
      <c r="C238" t="s">
        <v>486</v>
      </c>
      <c r="D238" t="s">
        <v>17</v>
      </c>
      <c r="E238" t="s">
        <v>477</v>
      </c>
      <c r="F238" s="2">
        <v>3.6</v>
      </c>
      <c r="G238" s="4">
        <v>859</v>
      </c>
      <c r="H238" s="4">
        <v>96767</v>
      </c>
      <c r="I238" t="s">
        <v>478</v>
      </c>
      <c r="J238" s="4">
        <v>3</v>
      </c>
      <c r="K238" s="4">
        <v>3</v>
      </c>
      <c r="L238" s="6">
        <v>1</v>
      </c>
      <c r="M238">
        <v>0</v>
      </c>
      <c r="N238">
        <v>3</v>
      </c>
      <c r="O238">
        <v>0</v>
      </c>
      <c r="P238">
        <v>3</v>
      </c>
      <c r="Q238" s="2">
        <v>0</v>
      </c>
      <c r="R238" s="2">
        <v>3</v>
      </c>
      <c r="S238" t="s">
        <v>17</v>
      </c>
    </row>
    <row r="240" spans="1:14" ht="12.75">
      <c r="A240" t="s">
        <v>495</v>
      </c>
      <c r="M240">
        <v>34378</v>
      </c>
      <c r="N240">
        <v>34344</v>
      </c>
    </row>
    <row r="241" spans="1:14" ht="12.75">
      <c r="A241" t="s">
        <v>496</v>
      </c>
      <c r="M241">
        <v>1597</v>
      </c>
      <c r="N241">
        <v>933</v>
      </c>
    </row>
    <row r="242" spans="1:14" ht="12.75">
      <c r="A242" t="s">
        <v>497</v>
      </c>
      <c r="M242">
        <v>1</v>
      </c>
      <c r="N242">
        <v>1</v>
      </c>
    </row>
    <row r="244" spans="1:2" ht="12.75">
      <c r="A244" t="s">
        <v>498</v>
      </c>
      <c r="B244" t="s">
        <v>499</v>
      </c>
    </row>
    <row r="245" spans="1:2" ht="12.75">
      <c r="A245">
        <v>218</v>
      </c>
      <c r="B245">
        <v>17</v>
      </c>
    </row>
    <row r="246" spans="1:2" ht="12.75">
      <c r="A246" t="s">
        <v>500</v>
      </c>
      <c r="B246" t="s">
        <v>501</v>
      </c>
    </row>
    <row r="247" spans="1:2" ht="12.75">
      <c r="A247">
        <v>30</v>
      </c>
      <c r="B247">
        <v>12</v>
      </c>
    </row>
    <row r="249" ht="12.75">
      <c r="A249" t="s">
        <v>502</v>
      </c>
    </row>
    <row r="250" ht="12.75">
      <c r="A250" t="s">
        <v>503</v>
      </c>
    </row>
    <row r="251" ht="12.75">
      <c r="A251" t="s">
        <v>504</v>
      </c>
    </row>
    <row r="253" spans="1:2" ht="12.75">
      <c r="A253" t="b">
        <v>0</v>
      </c>
      <c r="B253" t="s">
        <v>505</v>
      </c>
    </row>
    <row r="254" spans="1:2" ht="12.75">
      <c r="A254" t="b">
        <v>0</v>
      </c>
      <c r="B254" t="s">
        <v>506</v>
      </c>
    </row>
    <row r="255" spans="1:2" ht="12.75">
      <c r="A255">
        <v>50</v>
      </c>
      <c r="B255" t="s">
        <v>507</v>
      </c>
    </row>
    <row r="256" spans="1:2" ht="12.75">
      <c r="A256" t="b">
        <v>0</v>
      </c>
      <c r="B256" t="s">
        <v>508</v>
      </c>
    </row>
    <row r="257" spans="1:2" ht="12.75">
      <c r="A257" t="b">
        <v>0</v>
      </c>
      <c r="B257" t="s">
        <v>509</v>
      </c>
    </row>
    <row r="258" spans="1:2" ht="12.75">
      <c r="A258" t="b">
        <v>0</v>
      </c>
      <c r="B258" t="s">
        <v>510</v>
      </c>
    </row>
    <row r="259" spans="1:2" ht="12.75">
      <c r="A259" t="b">
        <v>0</v>
      </c>
      <c r="B259" t="s">
        <v>511</v>
      </c>
    </row>
    <row r="260" spans="1:2" ht="12.75">
      <c r="A260">
        <v>2</v>
      </c>
      <c r="B260" t="s">
        <v>512</v>
      </c>
    </row>
    <row r="261" spans="1:2" ht="12.75">
      <c r="A261">
        <v>3</v>
      </c>
      <c r="B261" t="s">
        <v>513</v>
      </c>
    </row>
    <row r="262" spans="1:2" ht="12.75">
      <c r="A262">
        <v>0</v>
      </c>
      <c r="B262" t="s">
        <v>514</v>
      </c>
    </row>
    <row r="263" spans="1:2" ht="12.75">
      <c r="A263" t="b">
        <v>0</v>
      </c>
      <c r="B263" t="s">
        <v>515</v>
      </c>
    </row>
    <row r="264" spans="1:2" ht="12.75">
      <c r="A264" t="b">
        <v>0</v>
      </c>
      <c r="B264" t="s">
        <v>516</v>
      </c>
    </row>
  </sheetData>
  <sheetProtection/>
  <autoFilter ref="A9:S9"/>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U221"/>
  <sheetViews>
    <sheetView zoomScalePageLayoutView="0" workbookViewId="0" topLeftCell="A1">
      <selection activeCell="A4" sqref="A4"/>
    </sheetView>
  </sheetViews>
  <sheetFormatPr defaultColWidth="9.140625" defaultRowHeight="12.75"/>
  <cols>
    <col min="1" max="1" width="12.28125" style="0" customWidth="1"/>
    <col min="2" max="2" width="10.421875" style="0" bestFit="1" customWidth="1"/>
    <col min="3" max="3" width="27.140625" style="0" customWidth="1"/>
    <col min="4" max="4" width="15.421875" style="0" customWidth="1"/>
    <col min="5" max="5" width="12.7109375" style="0" customWidth="1"/>
    <col min="6" max="6" width="12.8515625" style="0" customWidth="1"/>
    <col min="7" max="7" width="13.421875" style="0" bestFit="1" customWidth="1"/>
    <col min="8" max="8" width="11.140625" style="0" bestFit="1" customWidth="1"/>
    <col min="9" max="9" width="12.00390625" style="2" bestFit="1" customWidth="1"/>
    <col min="10" max="10" width="13.140625" style="4" bestFit="1" customWidth="1"/>
    <col min="11" max="11" width="9.140625" style="4" customWidth="1"/>
    <col min="12" max="12" width="27.140625" style="0" customWidth="1"/>
    <col min="13" max="13" width="12.28125" style="4" bestFit="1" customWidth="1"/>
    <col min="14" max="14" width="12.57421875" style="4" bestFit="1" customWidth="1"/>
    <col min="15" max="15" width="11.421875" style="6" bestFit="1" customWidth="1"/>
    <col min="20" max="21" width="9.8515625" style="2" bestFit="1" customWidth="1"/>
  </cols>
  <sheetData>
    <row r="1" ht="15.75">
      <c r="A1" s="8" t="s">
        <v>517</v>
      </c>
    </row>
    <row r="2" ht="12.75"/>
    <row r="3" spans="2:21" s="1" customFormat="1" ht="12.75">
      <c r="B3" s="1">
        <f>SUBTOTAL(109,B5:B211)</f>
        <v>207</v>
      </c>
      <c r="I3" s="3"/>
      <c r="J3" s="5"/>
      <c r="K3" s="5"/>
      <c r="M3" s="5"/>
      <c r="N3" s="5"/>
      <c r="O3" s="7"/>
      <c r="P3" s="1" t="s">
        <v>0</v>
      </c>
      <c r="Q3" s="1" t="s">
        <v>0</v>
      </c>
      <c r="R3" s="1" t="s">
        <v>1</v>
      </c>
      <c r="S3" s="1" t="s">
        <v>1</v>
      </c>
      <c r="T3" s="3" t="s">
        <v>2</v>
      </c>
      <c r="U3" s="3" t="s">
        <v>2</v>
      </c>
    </row>
    <row r="4" spans="1:21" s="1" customFormat="1" ht="12.75">
      <c r="A4" s="1" t="s">
        <v>3</v>
      </c>
      <c r="B4" s="1" t="s">
        <v>4</v>
      </c>
      <c r="C4" s="1" t="s">
        <v>5</v>
      </c>
      <c r="D4" s="1" t="s">
        <v>518</v>
      </c>
      <c r="E4" s="1" t="s">
        <v>519</v>
      </c>
      <c r="F4" s="1" t="s">
        <v>15</v>
      </c>
      <c r="G4" s="1" t="s">
        <v>6</v>
      </c>
      <c r="H4" s="1" t="s">
        <v>7</v>
      </c>
      <c r="I4" s="3" t="s">
        <v>8</v>
      </c>
      <c r="J4" s="5" t="s">
        <v>9</v>
      </c>
      <c r="K4" s="5" t="s">
        <v>10</v>
      </c>
      <c r="L4" s="1" t="s">
        <v>11</v>
      </c>
      <c r="M4" s="5" t="s">
        <v>12</v>
      </c>
      <c r="N4" s="5" t="s">
        <v>13</v>
      </c>
      <c r="O4" s="7" t="s">
        <v>14</v>
      </c>
      <c r="P4" s="1" t="s">
        <v>592</v>
      </c>
      <c r="Q4" s="1" t="s">
        <v>593</v>
      </c>
      <c r="R4" s="1" t="s">
        <v>592</v>
      </c>
      <c r="S4" s="1" t="s">
        <v>593</v>
      </c>
      <c r="T4" s="3" t="s">
        <v>592</v>
      </c>
      <c r="U4" s="3" t="s">
        <v>593</v>
      </c>
    </row>
    <row r="5" spans="1:21" ht="12.75">
      <c r="A5">
        <v>73</v>
      </c>
      <c r="B5">
        <v>1</v>
      </c>
      <c r="C5" t="s">
        <v>185</v>
      </c>
      <c r="D5" t="s">
        <v>17</v>
      </c>
      <c r="E5" t="s">
        <v>17</v>
      </c>
      <c r="F5" t="s">
        <v>17</v>
      </c>
      <c r="G5" t="str">
        <f>HYPERLINK("http://www.ensembl.org/Cavia_porcellus/protview?peptide=ENSCPOP00000005873","P00000005873")</f>
        <v>P00000005873</v>
      </c>
      <c r="I5" s="2">
        <v>89.1</v>
      </c>
      <c r="J5" s="4">
        <v>329</v>
      </c>
      <c r="K5" s="4">
        <v>35203</v>
      </c>
      <c r="L5" t="s">
        <v>186</v>
      </c>
      <c r="M5" s="4">
        <v>9001</v>
      </c>
      <c r="N5" s="4">
        <v>9001</v>
      </c>
      <c r="O5" s="6">
        <v>1</v>
      </c>
      <c r="P5">
        <v>4087</v>
      </c>
      <c r="Q5">
        <v>4914</v>
      </c>
      <c r="R5">
        <v>4087</v>
      </c>
      <c r="S5">
        <v>4914</v>
      </c>
      <c r="T5" s="2">
        <v>4087</v>
      </c>
      <c r="U5" s="2">
        <v>4914</v>
      </c>
    </row>
    <row r="6" spans="1:21" ht="12.75">
      <c r="A6">
        <v>179</v>
      </c>
      <c r="B6">
        <v>1</v>
      </c>
      <c r="C6" t="s">
        <v>424</v>
      </c>
      <c r="D6" t="s">
        <v>17</v>
      </c>
      <c r="E6" t="s">
        <v>17</v>
      </c>
      <c r="F6" t="s">
        <v>426</v>
      </c>
      <c r="G6" t="str">
        <f>HYPERLINK("http://www.ensembl.org/Cavia_porcellus/protview?peptide=ENSCPOP00000017498","P00000017498")</f>
        <v>P00000017498</v>
      </c>
      <c r="I6" s="2">
        <v>92</v>
      </c>
      <c r="J6" s="4">
        <v>175</v>
      </c>
      <c r="K6" s="4">
        <v>21158</v>
      </c>
      <c r="L6" t="s">
        <v>425</v>
      </c>
      <c r="M6" s="4">
        <v>7150</v>
      </c>
      <c r="N6" s="4">
        <v>3758</v>
      </c>
      <c r="O6" s="6">
        <v>0.526</v>
      </c>
      <c r="P6">
        <v>3571</v>
      </c>
      <c r="Q6">
        <v>3579</v>
      </c>
      <c r="R6">
        <v>1873</v>
      </c>
      <c r="S6">
        <v>1885</v>
      </c>
      <c r="T6" s="2">
        <v>2681.517</v>
      </c>
      <c r="U6" s="2">
        <v>2646.98</v>
      </c>
    </row>
    <row r="7" spans="1:21" ht="12.75">
      <c r="A7">
        <v>13</v>
      </c>
      <c r="B7">
        <v>1</v>
      </c>
      <c r="C7" t="s">
        <v>50</v>
      </c>
      <c r="D7" t="s">
        <v>17</v>
      </c>
      <c r="E7" t="s">
        <v>17</v>
      </c>
      <c r="F7" t="s">
        <v>52</v>
      </c>
      <c r="G7" t="str">
        <f>HYPERLINK("http://www.ensembl.org/Cavia_porcellus/protview?peptide=ENSCPOP00000000161","P00000000161")</f>
        <v>P00000000161</v>
      </c>
      <c r="I7" s="2">
        <v>92.5</v>
      </c>
      <c r="J7" s="4">
        <v>174</v>
      </c>
      <c r="K7" s="4">
        <v>21067</v>
      </c>
      <c r="L7" t="s">
        <v>51</v>
      </c>
      <c r="M7" s="4">
        <v>6579</v>
      </c>
      <c r="N7" s="4">
        <v>3097</v>
      </c>
      <c r="O7" s="6">
        <v>0.471</v>
      </c>
      <c r="P7">
        <v>3205</v>
      </c>
      <c r="Q7">
        <v>3374</v>
      </c>
      <c r="R7">
        <v>1456</v>
      </c>
      <c r="S7">
        <v>1641</v>
      </c>
      <c r="T7" s="2">
        <v>2119.651</v>
      </c>
      <c r="U7" s="2">
        <v>2331.528</v>
      </c>
    </row>
    <row r="8" spans="1:21" ht="12.75">
      <c r="A8">
        <v>117</v>
      </c>
      <c r="B8">
        <v>1</v>
      </c>
      <c r="C8" t="s">
        <v>283</v>
      </c>
      <c r="D8" t="s">
        <v>17</v>
      </c>
      <c r="E8" t="s">
        <v>17</v>
      </c>
      <c r="F8" t="s">
        <v>285</v>
      </c>
      <c r="G8" t="str">
        <f>HYPERLINK("http://www.ensembl.org/Cavia_porcellus/protview?peptide=ENSCPOP00000010076","P00000010076")</f>
        <v>P00000010076</v>
      </c>
      <c r="I8" s="2">
        <v>91.6</v>
      </c>
      <c r="J8" s="4">
        <v>178</v>
      </c>
      <c r="K8" s="4">
        <v>20935</v>
      </c>
      <c r="L8" t="s">
        <v>284</v>
      </c>
      <c r="M8" s="4">
        <v>5896</v>
      </c>
      <c r="N8" s="4">
        <v>5891</v>
      </c>
      <c r="O8" s="6">
        <v>0.999</v>
      </c>
      <c r="P8">
        <v>3140</v>
      </c>
      <c r="Q8">
        <v>2756</v>
      </c>
      <c r="R8">
        <v>3137</v>
      </c>
      <c r="S8">
        <v>2754</v>
      </c>
      <c r="T8" s="2">
        <v>3138.809</v>
      </c>
      <c r="U8" s="2">
        <v>2755.087</v>
      </c>
    </row>
    <row r="9" spans="1:21" ht="12.75">
      <c r="A9">
        <v>45</v>
      </c>
      <c r="B9">
        <v>1</v>
      </c>
      <c r="C9" t="s">
        <v>125</v>
      </c>
      <c r="D9" t="s">
        <v>17</v>
      </c>
      <c r="E9" t="s">
        <v>17</v>
      </c>
      <c r="F9" t="s">
        <v>127</v>
      </c>
      <c r="G9" t="str">
        <f>HYPERLINK("http://www.ensembl.org/Cavia_porcellus/protview?peptide=ENSCPOP00000003327","P00000003327")</f>
        <v>P00000003327</v>
      </c>
      <c r="I9" s="2">
        <v>92.2</v>
      </c>
      <c r="J9" s="4">
        <v>205</v>
      </c>
      <c r="K9" s="4">
        <v>23395</v>
      </c>
      <c r="L9" t="s">
        <v>126</v>
      </c>
      <c r="M9" s="4">
        <v>5596</v>
      </c>
      <c r="N9" s="4">
        <v>5578</v>
      </c>
      <c r="O9" s="6">
        <v>0.997</v>
      </c>
      <c r="P9">
        <v>2874</v>
      </c>
      <c r="Q9">
        <v>2722</v>
      </c>
      <c r="R9">
        <v>2866</v>
      </c>
      <c r="S9">
        <v>2712</v>
      </c>
      <c r="T9" s="2">
        <v>2870.183</v>
      </c>
      <c r="U9" s="2">
        <v>2717.18</v>
      </c>
    </row>
    <row r="10" spans="1:21" ht="12.75">
      <c r="A10">
        <v>223</v>
      </c>
      <c r="B10">
        <v>1</v>
      </c>
      <c r="C10" t="s">
        <v>560</v>
      </c>
      <c r="D10" t="s">
        <v>17</v>
      </c>
      <c r="E10" t="s">
        <v>561</v>
      </c>
      <c r="F10" t="s">
        <v>562</v>
      </c>
      <c r="G10" t="str">
        <f>HYPERLINK("http://www.ensembl.org/Cavia_porcellus/protview?peptide=ENSCPOP00000017479","P00000017479")</f>
        <v>P00000017479</v>
      </c>
      <c r="I10" s="2" t="s">
        <v>563</v>
      </c>
      <c r="J10" s="4" t="s">
        <v>564</v>
      </c>
      <c r="K10" s="4" t="s">
        <v>565</v>
      </c>
      <c r="L10" t="s">
        <v>566</v>
      </c>
      <c r="M10" s="4">
        <v>5445</v>
      </c>
      <c r="N10" s="4">
        <v>5444</v>
      </c>
      <c r="O10" s="6">
        <v>1</v>
      </c>
      <c r="P10">
        <v>2255</v>
      </c>
      <c r="Q10">
        <v>3190</v>
      </c>
      <c r="R10">
        <v>2254</v>
      </c>
      <c r="S10">
        <v>3190</v>
      </c>
      <c r="T10" s="2">
        <v>2254</v>
      </c>
      <c r="U10" s="2">
        <v>3190</v>
      </c>
    </row>
    <row r="11" spans="1:21" ht="12.75">
      <c r="A11">
        <v>158</v>
      </c>
      <c r="B11">
        <v>1</v>
      </c>
      <c r="C11" t="s">
        <v>375</v>
      </c>
      <c r="D11" t="s">
        <v>17</v>
      </c>
      <c r="E11" t="s">
        <v>17</v>
      </c>
      <c r="F11" t="s">
        <v>52</v>
      </c>
      <c r="G11" t="str">
        <f>HYPERLINK("http://www.ensembl.org/Cavia_porcellus/protview?peptide=ENSCPOP00000013563","P00000013563")</f>
        <v>P00000013563</v>
      </c>
      <c r="I11" s="2">
        <v>89.1</v>
      </c>
      <c r="J11" s="4">
        <v>174</v>
      </c>
      <c r="K11" s="4">
        <v>20953</v>
      </c>
      <c r="L11" t="s">
        <v>376</v>
      </c>
      <c r="M11" s="4">
        <v>4771</v>
      </c>
      <c r="N11" s="4">
        <v>1281</v>
      </c>
      <c r="O11" s="6">
        <v>0.268</v>
      </c>
      <c r="P11">
        <v>2363</v>
      </c>
      <c r="Q11">
        <v>2408</v>
      </c>
      <c r="R11">
        <v>610</v>
      </c>
      <c r="S11">
        <v>671</v>
      </c>
      <c r="T11" s="2">
        <v>889.023</v>
      </c>
      <c r="U11" s="2">
        <v>954.405</v>
      </c>
    </row>
    <row r="12" spans="1:21" ht="12.75">
      <c r="A12">
        <v>60</v>
      </c>
      <c r="B12">
        <v>1</v>
      </c>
      <c r="C12" t="s">
        <v>156</v>
      </c>
      <c r="D12" t="s">
        <v>17</v>
      </c>
      <c r="E12" t="s">
        <v>17</v>
      </c>
      <c r="F12" t="s">
        <v>127</v>
      </c>
      <c r="G12" t="str">
        <f>HYPERLINK("http://www.ensembl.org/Cavia_porcellus/protview?peptide=ENSCPOP00000004629","P00000004629")</f>
        <v>P00000004629</v>
      </c>
      <c r="I12" s="2">
        <v>91.1</v>
      </c>
      <c r="J12" s="4">
        <v>248</v>
      </c>
      <c r="K12" s="4">
        <v>27793</v>
      </c>
      <c r="L12" t="s">
        <v>157</v>
      </c>
      <c r="M12" s="4">
        <v>4608</v>
      </c>
      <c r="N12" s="4">
        <v>4590</v>
      </c>
      <c r="O12" s="6">
        <v>0.996</v>
      </c>
      <c r="P12">
        <v>2402</v>
      </c>
      <c r="Q12">
        <v>2206</v>
      </c>
      <c r="R12">
        <v>2394</v>
      </c>
      <c r="S12">
        <v>2196</v>
      </c>
      <c r="T12" s="2">
        <v>2397.494</v>
      </c>
      <c r="U12" s="2">
        <v>2200.194</v>
      </c>
    </row>
    <row r="13" spans="1:21" ht="12.75">
      <c r="A13">
        <v>29</v>
      </c>
      <c r="B13">
        <v>1</v>
      </c>
      <c r="C13" t="s">
        <v>87</v>
      </c>
      <c r="D13" t="s">
        <v>17</v>
      </c>
      <c r="E13" t="s">
        <v>17</v>
      </c>
      <c r="F13" t="s">
        <v>89</v>
      </c>
      <c r="G13" t="str">
        <f>HYPERLINK("http://www.ensembl.org/Cavia_porcellus/protview?peptide=ENSCPOP00000001917","P00000001917")</f>
        <v>P00000001917</v>
      </c>
      <c r="I13" s="2">
        <v>95.9</v>
      </c>
      <c r="J13" s="4">
        <v>196</v>
      </c>
      <c r="K13" s="4">
        <v>22472</v>
      </c>
      <c r="L13" t="s">
        <v>88</v>
      </c>
      <c r="M13" s="4">
        <v>3750</v>
      </c>
      <c r="N13" s="4">
        <v>3745</v>
      </c>
      <c r="O13" s="6">
        <v>0.999</v>
      </c>
      <c r="P13">
        <v>1928</v>
      </c>
      <c r="Q13">
        <v>1822</v>
      </c>
      <c r="R13">
        <v>1926</v>
      </c>
      <c r="S13">
        <v>1819</v>
      </c>
      <c r="T13" s="2">
        <v>1927</v>
      </c>
      <c r="U13" s="2">
        <v>1820.603</v>
      </c>
    </row>
    <row r="14" spans="1:21" ht="12.75">
      <c r="A14">
        <v>39</v>
      </c>
      <c r="B14">
        <v>1</v>
      </c>
      <c r="C14" t="s">
        <v>111</v>
      </c>
      <c r="D14" t="s">
        <v>17</v>
      </c>
      <c r="E14" t="s">
        <v>17</v>
      </c>
      <c r="F14" t="s">
        <v>113</v>
      </c>
      <c r="G14" t="str">
        <f>HYPERLINK("http://www.ensembl.org/Cavia_porcellus/protview?peptide=ENSCPOP00000002557","P00000002557")</f>
        <v>P00000002557</v>
      </c>
      <c r="I14" s="2">
        <v>87.9</v>
      </c>
      <c r="J14" s="4">
        <v>215</v>
      </c>
      <c r="K14" s="4">
        <v>25215</v>
      </c>
      <c r="L14" t="s">
        <v>112</v>
      </c>
      <c r="M14" s="4">
        <v>3519</v>
      </c>
      <c r="N14" s="4">
        <v>3511</v>
      </c>
      <c r="O14" s="6">
        <v>0.998</v>
      </c>
      <c r="P14">
        <v>1929</v>
      </c>
      <c r="Q14">
        <v>1590</v>
      </c>
      <c r="R14">
        <v>1926</v>
      </c>
      <c r="S14">
        <v>1585</v>
      </c>
      <c r="T14" s="2">
        <v>1927.248</v>
      </c>
      <c r="U14" s="2">
        <v>1586.841</v>
      </c>
    </row>
    <row r="15" spans="1:21" ht="12.75">
      <c r="A15">
        <v>135</v>
      </c>
      <c r="B15">
        <v>1</v>
      </c>
      <c r="C15" t="s">
        <v>324</v>
      </c>
      <c r="D15" t="s">
        <v>17</v>
      </c>
      <c r="E15" t="s">
        <v>17</v>
      </c>
      <c r="F15" t="s">
        <v>326</v>
      </c>
      <c r="G15" t="str">
        <f>HYPERLINK("http://www.ensembl.org/Cavia_porcellus/protview?peptide=ENSCPOP00000011640","P00000011640")</f>
        <v>P00000011640</v>
      </c>
      <c r="I15" s="2">
        <v>88</v>
      </c>
      <c r="J15" s="4">
        <v>175</v>
      </c>
      <c r="K15" s="4">
        <v>20166</v>
      </c>
      <c r="L15" t="s">
        <v>325</v>
      </c>
      <c r="M15" s="4">
        <v>3194</v>
      </c>
      <c r="N15" s="4">
        <v>3193</v>
      </c>
      <c r="O15" s="6">
        <v>1</v>
      </c>
      <c r="P15">
        <v>1380</v>
      </c>
      <c r="Q15">
        <v>1814</v>
      </c>
      <c r="R15">
        <v>1379</v>
      </c>
      <c r="S15">
        <v>1814</v>
      </c>
      <c r="T15" s="2">
        <v>1379</v>
      </c>
      <c r="U15" s="2">
        <v>1814</v>
      </c>
    </row>
    <row r="16" spans="1:21" ht="12.75">
      <c r="A16">
        <v>130</v>
      </c>
      <c r="B16">
        <v>1</v>
      </c>
      <c r="C16" t="s">
        <v>314</v>
      </c>
      <c r="D16" t="s">
        <v>17</v>
      </c>
      <c r="E16" t="s">
        <v>17</v>
      </c>
      <c r="F16" t="s">
        <v>17</v>
      </c>
      <c r="G16" t="str">
        <f>HYPERLINK("http://www.ensembl.org/Cavia_porcellus/protview?peptide=ENSCPOP00000011151","P00000011151")</f>
        <v>P00000011151</v>
      </c>
      <c r="I16" s="2">
        <v>86.7</v>
      </c>
      <c r="J16" s="4">
        <v>211</v>
      </c>
      <c r="K16" s="4">
        <v>23982</v>
      </c>
      <c r="L16" t="s">
        <v>315</v>
      </c>
      <c r="M16" s="4">
        <v>2611</v>
      </c>
      <c r="N16" s="4">
        <v>2611</v>
      </c>
      <c r="O16" s="6">
        <v>1</v>
      </c>
      <c r="P16">
        <v>1367</v>
      </c>
      <c r="Q16">
        <v>1244</v>
      </c>
      <c r="R16">
        <v>1367</v>
      </c>
      <c r="S16">
        <v>1244</v>
      </c>
      <c r="T16" s="2">
        <v>1367</v>
      </c>
      <c r="U16" s="2">
        <v>1244</v>
      </c>
    </row>
    <row r="17" spans="1:21" ht="12.75">
      <c r="A17">
        <v>99</v>
      </c>
      <c r="B17">
        <v>1</v>
      </c>
      <c r="C17" t="s">
        <v>242</v>
      </c>
      <c r="D17" t="s">
        <v>17</v>
      </c>
      <c r="E17" t="s">
        <v>17</v>
      </c>
      <c r="F17" t="s">
        <v>127</v>
      </c>
      <c r="G17" t="str">
        <f>HYPERLINK("http://www.ensembl.org/Cavia_porcellus/protview?peptide=ENSCPOP00000008199","P00000008199")</f>
        <v>P00000008199</v>
      </c>
      <c r="I17" s="2">
        <v>86.3</v>
      </c>
      <c r="J17" s="4">
        <v>197</v>
      </c>
      <c r="K17" s="4">
        <v>22182</v>
      </c>
      <c r="L17" t="s">
        <v>243</v>
      </c>
      <c r="M17" s="4">
        <v>1228</v>
      </c>
      <c r="N17" s="4">
        <v>1225</v>
      </c>
      <c r="O17" s="6">
        <v>0.998</v>
      </c>
      <c r="P17">
        <v>575</v>
      </c>
      <c r="Q17">
        <v>653</v>
      </c>
      <c r="R17">
        <v>574</v>
      </c>
      <c r="S17">
        <v>651</v>
      </c>
      <c r="T17" s="2">
        <v>574.074</v>
      </c>
      <c r="U17" s="2">
        <v>651.182</v>
      </c>
    </row>
    <row r="18" spans="1:21" ht="12.75">
      <c r="A18">
        <v>4</v>
      </c>
      <c r="B18">
        <v>1</v>
      </c>
      <c r="C18" t="s">
        <v>26</v>
      </c>
      <c r="D18" t="s">
        <v>17</v>
      </c>
      <c r="E18" t="s">
        <v>17</v>
      </c>
      <c r="F18" t="s">
        <v>25</v>
      </c>
      <c r="G18" t="s">
        <v>17</v>
      </c>
      <c r="H18" t="s">
        <v>18</v>
      </c>
      <c r="I18" s="2">
        <v>78.7</v>
      </c>
      <c r="J18" s="4">
        <v>607</v>
      </c>
      <c r="K18" s="4">
        <v>69271</v>
      </c>
      <c r="L18" t="s">
        <v>27</v>
      </c>
      <c r="M18" s="4">
        <v>881</v>
      </c>
      <c r="N18" s="4">
        <v>406</v>
      </c>
      <c r="O18" s="6">
        <v>0.461</v>
      </c>
      <c r="P18">
        <v>754</v>
      </c>
      <c r="Q18">
        <v>127</v>
      </c>
      <c r="R18">
        <v>356</v>
      </c>
      <c r="S18">
        <v>50</v>
      </c>
      <c r="T18" s="2">
        <v>710.97</v>
      </c>
      <c r="U18" s="2">
        <v>106.356</v>
      </c>
    </row>
    <row r="19" spans="1:21" ht="12.75">
      <c r="A19">
        <v>221</v>
      </c>
      <c r="B19">
        <v>1</v>
      </c>
      <c r="C19" t="s">
        <v>547</v>
      </c>
      <c r="D19" t="s">
        <v>17</v>
      </c>
      <c r="E19" t="s">
        <v>548</v>
      </c>
      <c r="F19" t="s">
        <v>549</v>
      </c>
      <c r="G19" t="str">
        <f>HYPERLINK("http://www.ensembl.org/Cavia_porcellus/protview?peptide=ENSCPOP00000005241","P00000005241")</f>
        <v>P00000005241</v>
      </c>
      <c r="I19" s="2" t="s">
        <v>550</v>
      </c>
      <c r="J19" s="4" t="s">
        <v>551</v>
      </c>
      <c r="K19" s="4" t="s">
        <v>552</v>
      </c>
      <c r="L19" t="s">
        <v>553</v>
      </c>
      <c r="M19" s="4">
        <v>713</v>
      </c>
      <c r="N19" s="4">
        <v>552</v>
      </c>
      <c r="O19" s="6">
        <v>0.774</v>
      </c>
      <c r="P19">
        <v>353</v>
      </c>
      <c r="Q19">
        <v>360</v>
      </c>
      <c r="R19">
        <v>268</v>
      </c>
      <c r="S19">
        <v>284</v>
      </c>
      <c r="T19" s="2">
        <v>334</v>
      </c>
      <c r="U19" s="2">
        <v>343</v>
      </c>
    </row>
    <row r="20" spans="1:21" ht="12.75">
      <c r="A20">
        <v>2</v>
      </c>
      <c r="B20">
        <v>1</v>
      </c>
      <c r="C20" t="s">
        <v>21</v>
      </c>
      <c r="D20" t="s">
        <v>17</v>
      </c>
      <c r="E20" t="s">
        <v>17</v>
      </c>
      <c r="F20" t="s">
        <v>20</v>
      </c>
      <c r="G20" t="s">
        <v>17</v>
      </c>
      <c r="H20" t="s">
        <v>18</v>
      </c>
      <c r="I20" s="2">
        <v>79.2</v>
      </c>
      <c r="J20" s="4">
        <v>231</v>
      </c>
      <c r="K20" s="4">
        <v>24410</v>
      </c>
      <c r="L20" t="s">
        <v>22</v>
      </c>
      <c r="M20" s="4">
        <v>623</v>
      </c>
      <c r="N20" s="4">
        <v>522</v>
      </c>
      <c r="O20" s="6">
        <v>0.838</v>
      </c>
      <c r="P20">
        <v>319</v>
      </c>
      <c r="Q20">
        <v>304</v>
      </c>
      <c r="R20">
        <v>268</v>
      </c>
      <c r="S20">
        <v>254</v>
      </c>
      <c r="T20" s="2">
        <v>294.959</v>
      </c>
      <c r="U20" s="2">
        <v>278.951</v>
      </c>
    </row>
    <row r="21" spans="1:21" ht="12.75">
      <c r="A21">
        <v>1</v>
      </c>
      <c r="B21">
        <v>1</v>
      </c>
      <c r="C21" t="s">
        <v>16</v>
      </c>
      <c r="D21" t="s">
        <v>17</v>
      </c>
      <c r="E21" t="s">
        <v>17</v>
      </c>
      <c r="F21" t="s">
        <v>20</v>
      </c>
      <c r="G21" t="s">
        <v>17</v>
      </c>
      <c r="H21" t="s">
        <v>18</v>
      </c>
      <c r="I21" s="2">
        <v>100</v>
      </c>
      <c r="J21" s="4">
        <v>50</v>
      </c>
      <c r="K21" s="4">
        <v>5561</v>
      </c>
      <c r="L21" t="s">
        <v>19</v>
      </c>
      <c r="M21" s="4">
        <v>595</v>
      </c>
      <c r="N21" s="4">
        <v>494</v>
      </c>
      <c r="O21" s="6">
        <v>0.83</v>
      </c>
      <c r="P21">
        <v>290</v>
      </c>
      <c r="Q21">
        <v>305</v>
      </c>
      <c r="R21">
        <v>239</v>
      </c>
      <c r="S21">
        <v>255</v>
      </c>
      <c r="T21" s="2">
        <v>263.041</v>
      </c>
      <c r="U21" s="2">
        <v>280.049</v>
      </c>
    </row>
    <row r="22" spans="1:21" ht="12.75">
      <c r="A22">
        <v>224</v>
      </c>
      <c r="B22">
        <v>1</v>
      </c>
      <c r="C22" t="s">
        <v>567</v>
      </c>
      <c r="D22" t="s">
        <v>17</v>
      </c>
      <c r="E22" t="s">
        <v>568</v>
      </c>
      <c r="F22" t="s">
        <v>569</v>
      </c>
      <c r="G22" t="str">
        <f>HYPERLINK("http://www.ensembl.org/Cavia_porcellus/protview?peptide=ENSCPOP00000017069","P00000017069")</f>
        <v>P00000017069</v>
      </c>
      <c r="I22" s="2" t="s">
        <v>570</v>
      </c>
      <c r="J22" s="4" t="s">
        <v>571</v>
      </c>
      <c r="K22" s="4" t="s">
        <v>572</v>
      </c>
      <c r="L22" t="s">
        <v>573</v>
      </c>
      <c r="M22" s="4">
        <v>578</v>
      </c>
      <c r="N22" s="4">
        <v>565</v>
      </c>
      <c r="O22" s="6">
        <v>0.978</v>
      </c>
      <c r="P22">
        <v>345</v>
      </c>
      <c r="Q22">
        <v>233</v>
      </c>
      <c r="R22">
        <v>337</v>
      </c>
      <c r="S22">
        <v>228</v>
      </c>
      <c r="T22" s="2">
        <v>343</v>
      </c>
      <c r="U22" s="2">
        <v>231</v>
      </c>
    </row>
    <row r="23" spans="1:21" ht="12.75">
      <c r="A23">
        <v>189</v>
      </c>
      <c r="B23">
        <v>1</v>
      </c>
      <c r="C23" t="s">
        <v>448</v>
      </c>
      <c r="D23" t="s">
        <v>17</v>
      </c>
      <c r="E23" t="s">
        <v>17</v>
      </c>
      <c r="F23" t="s">
        <v>17</v>
      </c>
      <c r="G23" t="str">
        <f>HYPERLINK("http://www.ensembl.org/Cavia_porcellus/protview?peptide=ENSCPOP00000018962","P00000018962")</f>
        <v>P00000018962</v>
      </c>
      <c r="I23" s="2">
        <v>83.7</v>
      </c>
      <c r="J23" s="4">
        <v>135</v>
      </c>
      <c r="K23" s="4">
        <v>15057</v>
      </c>
      <c r="L23" t="s">
        <v>449</v>
      </c>
      <c r="M23" s="4">
        <v>548</v>
      </c>
      <c r="N23" s="4">
        <v>548</v>
      </c>
      <c r="O23" s="6">
        <v>1</v>
      </c>
      <c r="P23">
        <v>301</v>
      </c>
      <c r="Q23">
        <v>247</v>
      </c>
      <c r="R23">
        <v>301</v>
      </c>
      <c r="S23">
        <v>247</v>
      </c>
      <c r="T23" s="2">
        <v>301</v>
      </c>
      <c r="U23" s="2">
        <v>247</v>
      </c>
    </row>
    <row r="24" spans="1:21" ht="12.75">
      <c r="A24">
        <v>3</v>
      </c>
      <c r="B24">
        <v>1</v>
      </c>
      <c r="C24" t="s">
        <v>23</v>
      </c>
      <c r="D24" t="s">
        <v>17</v>
      </c>
      <c r="E24" t="s">
        <v>17</v>
      </c>
      <c r="F24" t="s">
        <v>25</v>
      </c>
      <c r="G24" t="s">
        <v>17</v>
      </c>
      <c r="H24" t="s">
        <v>18</v>
      </c>
      <c r="I24" s="2">
        <v>79</v>
      </c>
      <c r="J24" s="4">
        <v>581</v>
      </c>
      <c r="K24" s="4">
        <v>65798</v>
      </c>
      <c r="L24" t="s">
        <v>24</v>
      </c>
      <c r="M24" s="4">
        <v>535</v>
      </c>
      <c r="N24" s="4">
        <v>60</v>
      </c>
      <c r="O24" s="6">
        <v>0.112</v>
      </c>
      <c r="P24">
        <v>441</v>
      </c>
      <c r="Q24">
        <v>94</v>
      </c>
      <c r="R24">
        <v>43</v>
      </c>
      <c r="S24">
        <v>17</v>
      </c>
      <c r="T24" s="2">
        <v>85.876</v>
      </c>
      <c r="U24" s="2">
        <v>36.161</v>
      </c>
    </row>
    <row r="25" spans="1:21" ht="12.75">
      <c r="A25">
        <v>91</v>
      </c>
      <c r="B25">
        <v>1</v>
      </c>
      <c r="C25" t="s">
        <v>226</v>
      </c>
      <c r="D25" t="s">
        <v>17</v>
      </c>
      <c r="E25" t="s">
        <v>17</v>
      </c>
      <c r="F25" t="s">
        <v>17</v>
      </c>
      <c r="G25" t="str">
        <f>HYPERLINK("http://www.ensembl.org/Cavia_porcellus/protview?peptide=ENSCPOP00000007420","P00000007420")</f>
        <v>P00000007420</v>
      </c>
      <c r="I25" s="2">
        <v>68.9</v>
      </c>
      <c r="J25" s="4">
        <v>396</v>
      </c>
      <c r="K25" s="4">
        <v>45230</v>
      </c>
      <c r="L25" t="s">
        <v>227</v>
      </c>
      <c r="M25" s="4">
        <v>479</v>
      </c>
      <c r="N25" s="4">
        <v>479</v>
      </c>
      <c r="O25" s="6">
        <v>1</v>
      </c>
      <c r="P25">
        <v>262</v>
      </c>
      <c r="Q25">
        <v>217</v>
      </c>
      <c r="R25">
        <v>262</v>
      </c>
      <c r="S25">
        <v>217</v>
      </c>
      <c r="T25" s="2">
        <v>262</v>
      </c>
      <c r="U25" s="2">
        <v>217</v>
      </c>
    </row>
    <row r="26" spans="1:21" ht="12.75">
      <c r="A26">
        <v>19</v>
      </c>
      <c r="B26">
        <v>1</v>
      </c>
      <c r="C26" t="s">
        <v>66</v>
      </c>
      <c r="D26" t="s">
        <v>17</v>
      </c>
      <c r="E26" t="s">
        <v>17</v>
      </c>
      <c r="F26" t="s">
        <v>17</v>
      </c>
      <c r="G26" t="str">
        <f>HYPERLINK("http://www.ensembl.org/Cavia_porcellus/protview?peptide=ENSCPOP00000001034","P00000001034")</f>
        <v>P00000001034</v>
      </c>
      <c r="I26" s="2">
        <v>75</v>
      </c>
      <c r="J26" s="4">
        <v>260</v>
      </c>
      <c r="K26" s="4">
        <v>29359</v>
      </c>
      <c r="L26" t="s">
        <v>67</v>
      </c>
      <c r="M26" s="4">
        <v>446</v>
      </c>
      <c r="N26" s="4">
        <v>446</v>
      </c>
      <c r="O26" s="6">
        <v>1</v>
      </c>
      <c r="P26">
        <v>198</v>
      </c>
      <c r="Q26">
        <v>248</v>
      </c>
      <c r="R26">
        <v>198</v>
      </c>
      <c r="S26">
        <v>248</v>
      </c>
      <c r="T26" s="2">
        <v>198</v>
      </c>
      <c r="U26" s="2">
        <v>248</v>
      </c>
    </row>
    <row r="27" spans="1:21" ht="12.75">
      <c r="A27">
        <v>190</v>
      </c>
      <c r="B27">
        <v>1</v>
      </c>
      <c r="C27" t="s">
        <v>450</v>
      </c>
      <c r="D27" t="s">
        <v>17</v>
      </c>
      <c r="E27" t="s">
        <v>17</v>
      </c>
      <c r="F27" t="s">
        <v>17</v>
      </c>
      <c r="G27" t="str">
        <f>HYPERLINK("http://www.ensembl.org/Cavia_porcellus/protview?peptide=ENSCPOP00000019052","P00000019052")</f>
        <v>P00000019052</v>
      </c>
      <c r="I27" s="2">
        <v>81</v>
      </c>
      <c r="J27" s="4">
        <v>200</v>
      </c>
      <c r="K27" s="4">
        <v>22285</v>
      </c>
      <c r="L27" t="s">
        <v>451</v>
      </c>
      <c r="M27" s="4">
        <v>420</v>
      </c>
      <c r="N27" s="4">
        <v>420</v>
      </c>
      <c r="O27" s="6">
        <v>1</v>
      </c>
      <c r="P27">
        <v>213</v>
      </c>
      <c r="Q27">
        <v>207</v>
      </c>
      <c r="R27">
        <v>213</v>
      </c>
      <c r="S27">
        <v>207</v>
      </c>
      <c r="T27" s="2">
        <v>213</v>
      </c>
      <c r="U27" s="2">
        <v>207</v>
      </c>
    </row>
    <row r="28" spans="1:21" ht="12.75">
      <c r="A28">
        <v>22</v>
      </c>
      <c r="B28">
        <v>1</v>
      </c>
      <c r="C28" t="s">
        <v>72</v>
      </c>
      <c r="D28" t="s">
        <v>17</v>
      </c>
      <c r="E28" t="s">
        <v>17</v>
      </c>
      <c r="F28" t="s">
        <v>17</v>
      </c>
      <c r="G28" t="str">
        <f>HYPERLINK("http://www.ensembl.org/Cavia_porcellus/protview?peptide=ENSCPOP00000001164","P00000001164")</f>
        <v>P00000001164</v>
      </c>
      <c r="I28" s="2">
        <v>57.9</v>
      </c>
      <c r="J28" s="4">
        <v>316</v>
      </c>
      <c r="K28" s="4">
        <v>35707</v>
      </c>
      <c r="L28" t="s">
        <v>73</v>
      </c>
      <c r="M28" s="4">
        <v>407</v>
      </c>
      <c r="N28" s="4">
        <v>407</v>
      </c>
      <c r="O28" s="6">
        <v>1</v>
      </c>
      <c r="P28">
        <v>189</v>
      </c>
      <c r="Q28">
        <v>218</v>
      </c>
      <c r="R28">
        <v>189</v>
      </c>
      <c r="S28">
        <v>218</v>
      </c>
      <c r="T28" s="2">
        <v>189</v>
      </c>
      <c r="U28" s="2">
        <v>218</v>
      </c>
    </row>
    <row r="29" spans="1:21" ht="12.75">
      <c r="A29">
        <v>181</v>
      </c>
      <c r="B29">
        <v>1</v>
      </c>
      <c r="C29" t="s">
        <v>429</v>
      </c>
      <c r="D29" t="s">
        <v>17</v>
      </c>
      <c r="E29" t="s">
        <v>17</v>
      </c>
      <c r="F29" t="s">
        <v>211</v>
      </c>
      <c r="G29" t="str">
        <f>HYPERLINK("http://www.ensembl.org/Cavia_porcellus/protview?peptide=ENSCPOP00000017636","P00000017636")</f>
        <v>P00000017636</v>
      </c>
      <c r="I29" s="2">
        <v>80.5</v>
      </c>
      <c r="J29" s="4">
        <v>365</v>
      </c>
      <c r="K29" s="4">
        <v>39585</v>
      </c>
      <c r="L29" t="s">
        <v>430</v>
      </c>
      <c r="M29" s="4">
        <v>323</v>
      </c>
      <c r="N29" s="4">
        <v>264</v>
      </c>
      <c r="O29" s="6">
        <v>0.817</v>
      </c>
      <c r="P29">
        <v>155</v>
      </c>
      <c r="Q29">
        <v>168</v>
      </c>
      <c r="R29">
        <v>127</v>
      </c>
      <c r="S29">
        <v>137</v>
      </c>
      <c r="T29" s="2">
        <v>150.55</v>
      </c>
      <c r="U29" s="2">
        <v>161.269</v>
      </c>
    </row>
    <row r="30" spans="1:21" ht="12.75">
      <c r="A30">
        <v>126</v>
      </c>
      <c r="B30">
        <v>1</v>
      </c>
      <c r="C30" t="s">
        <v>530</v>
      </c>
      <c r="D30" t="s">
        <v>531</v>
      </c>
      <c r="E30" t="s">
        <v>17</v>
      </c>
      <c r="F30" t="s">
        <v>261</v>
      </c>
      <c r="G30" t="str">
        <f>HYPERLINK("http://www.ensembl.org/Cavia_porcellus/protview?peptide=ENSCPOP00000010883","P00000010883")</f>
        <v>P00000010883</v>
      </c>
      <c r="I30" s="2">
        <v>65.9</v>
      </c>
      <c r="J30" s="4">
        <v>375</v>
      </c>
      <c r="K30" s="4">
        <v>41794</v>
      </c>
      <c r="L30" t="s">
        <v>305</v>
      </c>
      <c r="M30" s="4">
        <v>298</v>
      </c>
      <c r="N30" s="4">
        <v>111</v>
      </c>
      <c r="O30" s="6">
        <v>0.372</v>
      </c>
      <c r="P30">
        <v>155</v>
      </c>
      <c r="Q30">
        <v>143</v>
      </c>
      <c r="R30">
        <v>60</v>
      </c>
      <c r="S30">
        <v>51</v>
      </c>
      <c r="T30" s="2">
        <v>132.722</v>
      </c>
      <c r="U30" s="2">
        <v>124.374</v>
      </c>
    </row>
    <row r="31" spans="1:21" ht="12.75">
      <c r="A31">
        <v>123</v>
      </c>
      <c r="B31">
        <v>1</v>
      </c>
      <c r="C31" t="s">
        <v>296</v>
      </c>
      <c r="D31" t="s">
        <v>17</v>
      </c>
      <c r="E31" t="s">
        <v>17</v>
      </c>
      <c r="F31" t="s">
        <v>206</v>
      </c>
      <c r="G31" t="str">
        <f>HYPERLINK("http://www.ensembl.org/Cavia_porcellus/protview?peptide=ENSCPOP00000010729","P00000010729")</f>
        <v>P00000010729</v>
      </c>
      <c r="I31" s="2">
        <v>74.6</v>
      </c>
      <c r="J31" s="4">
        <v>338</v>
      </c>
      <c r="K31" s="4">
        <v>37147</v>
      </c>
      <c r="L31" t="s">
        <v>297</v>
      </c>
      <c r="M31" s="4">
        <v>254</v>
      </c>
      <c r="N31" s="4">
        <v>234</v>
      </c>
      <c r="O31" s="6">
        <v>0.921</v>
      </c>
      <c r="P31">
        <v>126</v>
      </c>
      <c r="Q31">
        <v>128</v>
      </c>
      <c r="R31">
        <v>117</v>
      </c>
      <c r="S31">
        <v>117</v>
      </c>
      <c r="T31" s="2">
        <v>123.623</v>
      </c>
      <c r="U31" s="2">
        <v>125.357</v>
      </c>
    </row>
    <row r="32" spans="1:21" ht="12.75">
      <c r="A32">
        <v>225</v>
      </c>
      <c r="B32">
        <v>1</v>
      </c>
      <c r="C32" t="s">
        <v>574</v>
      </c>
      <c r="D32" t="s">
        <v>17</v>
      </c>
      <c r="E32" t="s">
        <v>575</v>
      </c>
      <c r="F32" t="s">
        <v>17</v>
      </c>
      <c r="G32" t="str">
        <f>HYPERLINK("http://www.ensembl.org/Cavia_porcellus/protview?peptide=ENSCPOP00000017692","P00000017692")</f>
        <v>P00000017692</v>
      </c>
      <c r="I32" s="2" t="s">
        <v>576</v>
      </c>
      <c r="J32" s="4" t="s">
        <v>577</v>
      </c>
      <c r="K32" s="4" t="s">
        <v>578</v>
      </c>
      <c r="L32" t="s">
        <v>579</v>
      </c>
      <c r="M32" s="4">
        <v>220</v>
      </c>
      <c r="N32" s="4">
        <v>220</v>
      </c>
      <c r="O32" s="6">
        <v>1</v>
      </c>
      <c r="P32">
        <v>88</v>
      </c>
      <c r="Q32">
        <v>132</v>
      </c>
      <c r="R32">
        <v>88</v>
      </c>
      <c r="S32">
        <v>132</v>
      </c>
      <c r="T32" s="2">
        <v>88</v>
      </c>
      <c r="U32" s="2">
        <v>132</v>
      </c>
    </row>
    <row r="33" spans="1:21" ht="12.75">
      <c r="A33">
        <v>96</v>
      </c>
      <c r="B33">
        <v>1</v>
      </c>
      <c r="C33" t="s">
        <v>236</v>
      </c>
      <c r="D33" t="s">
        <v>17</v>
      </c>
      <c r="E33" t="s">
        <v>17</v>
      </c>
      <c r="F33" t="s">
        <v>170</v>
      </c>
      <c r="G33" t="str">
        <f>HYPERLINK("http://www.ensembl.org/Cavia_porcellus/protview?peptide=ENSCPOP00000007974","P00000007974")</f>
        <v>P00000007974</v>
      </c>
      <c r="I33" s="2">
        <v>57.6</v>
      </c>
      <c r="J33" s="4">
        <v>434</v>
      </c>
      <c r="K33" s="4">
        <v>47155</v>
      </c>
      <c r="L33" t="s">
        <v>237</v>
      </c>
      <c r="M33" s="4">
        <v>218</v>
      </c>
      <c r="N33" s="4">
        <v>57</v>
      </c>
      <c r="O33" s="6">
        <v>0.261</v>
      </c>
      <c r="P33">
        <v>127</v>
      </c>
      <c r="Q33">
        <v>91</v>
      </c>
      <c r="R33">
        <v>42</v>
      </c>
      <c r="S33">
        <v>15</v>
      </c>
      <c r="T33" s="2">
        <v>46</v>
      </c>
      <c r="U33" s="2">
        <v>18</v>
      </c>
    </row>
    <row r="34" spans="1:21" ht="12.75">
      <c r="A34">
        <v>129</v>
      </c>
      <c r="B34">
        <v>1</v>
      </c>
      <c r="C34" t="s">
        <v>312</v>
      </c>
      <c r="D34" t="s">
        <v>17</v>
      </c>
      <c r="E34" t="s">
        <v>17</v>
      </c>
      <c r="F34" t="s">
        <v>17</v>
      </c>
      <c r="G34" t="str">
        <f>HYPERLINK("http://www.ensembl.org/Cavia_porcellus/protview?peptide=ENSCPOP00000011106","P00000011106")</f>
        <v>P00000011106</v>
      </c>
      <c r="I34" s="2">
        <v>80</v>
      </c>
      <c r="J34" s="4">
        <v>285</v>
      </c>
      <c r="K34" s="4">
        <v>30457</v>
      </c>
      <c r="L34" t="s">
        <v>313</v>
      </c>
      <c r="M34" s="4">
        <v>217</v>
      </c>
      <c r="N34" s="4">
        <v>217</v>
      </c>
      <c r="O34" s="6">
        <v>1</v>
      </c>
      <c r="P34">
        <v>90</v>
      </c>
      <c r="Q34">
        <v>127</v>
      </c>
      <c r="R34">
        <v>90</v>
      </c>
      <c r="S34">
        <v>127</v>
      </c>
      <c r="T34" s="2">
        <v>90</v>
      </c>
      <c r="U34" s="2">
        <v>127</v>
      </c>
    </row>
    <row r="35" spans="1:21" ht="12.75">
      <c r="A35">
        <v>176</v>
      </c>
      <c r="B35">
        <v>1</v>
      </c>
      <c r="C35" t="s">
        <v>417</v>
      </c>
      <c r="D35" t="s">
        <v>17</v>
      </c>
      <c r="E35" t="s">
        <v>17</v>
      </c>
      <c r="F35" t="s">
        <v>419</v>
      </c>
      <c r="G35" t="str">
        <f>HYPERLINK("http://www.ensembl.org/Cavia_porcellus/protview?peptide=ENSCPOP00000017093","P00000017093")</f>
        <v>P00000017093</v>
      </c>
      <c r="I35" s="2">
        <v>70.2</v>
      </c>
      <c r="J35" s="4">
        <v>161</v>
      </c>
      <c r="K35" s="4">
        <v>18285</v>
      </c>
      <c r="L35" t="s">
        <v>418</v>
      </c>
      <c r="M35" s="4">
        <v>185</v>
      </c>
      <c r="N35" s="4">
        <v>94</v>
      </c>
      <c r="O35" s="6">
        <v>0.508</v>
      </c>
      <c r="P35">
        <v>99</v>
      </c>
      <c r="Q35">
        <v>86</v>
      </c>
      <c r="R35">
        <v>49</v>
      </c>
      <c r="S35">
        <v>45</v>
      </c>
      <c r="T35" s="2">
        <v>85.029</v>
      </c>
      <c r="U35" s="2">
        <v>73.828</v>
      </c>
    </row>
    <row r="36" spans="1:21" ht="12.75">
      <c r="A36">
        <v>106</v>
      </c>
      <c r="B36">
        <v>1</v>
      </c>
      <c r="C36" t="s">
        <v>259</v>
      </c>
      <c r="D36" t="s">
        <v>17</v>
      </c>
      <c r="E36" t="s">
        <v>17</v>
      </c>
      <c r="F36" t="s">
        <v>261</v>
      </c>
      <c r="G36" t="str">
        <f>HYPERLINK("http://www.ensembl.org/Cavia_porcellus/protview?peptide=ENSCPOP00000009329","P00000009329")</f>
        <v>P00000009329</v>
      </c>
      <c r="I36" s="2">
        <v>46.4</v>
      </c>
      <c r="J36" s="4">
        <v>377</v>
      </c>
      <c r="K36" s="4">
        <v>42052</v>
      </c>
      <c r="L36" t="s">
        <v>260</v>
      </c>
      <c r="M36" s="4">
        <v>172</v>
      </c>
      <c r="N36" s="4">
        <v>27</v>
      </c>
      <c r="O36" s="6">
        <v>0.157</v>
      </c>
      <c r="P36">
        <v>87</v>
      </c>
      <c r="Q36">
        <v>85</v>
      </c>
      <c r="R36">
        <v>15</v>
      </c>
      <c r="S36">
        <v>12</v>
      </c>
      <c r="T36" s="2">
        <v>28.455</v>
      </c>
      <c r="U36" s="2">
        <v>25.333</v>
      </c>
    </row>
    <row r="37" spans="1:21" ht="12.75">
      <c r="A37">
        <v>36</v>
      </c>
      <c r="B37">
        <v>1</v>
      </c>
      <c r="C37" t="s">
        <v>103</v>
      </c>
      <c r="D37" t="s">
        <v>17</v>
      </c>
      <c r="E37" t="s">
        <v>17</v>
      </c>
      <c r="F37" t="s">
        <v>105</v>
      </c>
      <c r="G37" t="str">
        <f>HYPERLINK("http://www.ensembl.org/Cavia_porcellus/protview?peptide=ENSCPOP00000002427","P00000002427")</f>
        <v>P00000002427</v>
      </c>
      <c r="I37" s="2">
        <v>34.2</v>
      </c>
      <c r="J37" s="4">
        <v>2645</v>
      </c>
      <c r="K37" s="4">
        <v>280752</v>
      </c>
      <c r="L37" t="s">
        <v>104</v>
      </c>
      <c r="M37" s="4">
        <v>171</v>
      </c>
      <c r="N37" s="4">
        <v>167</v>
      </c>
      <c r="O37" s="6">
        <v>0.977</v>
      </c>
      <c r="P37">
        <v>117</v>
      </c>
      <c r="Q37">
        <v>54</v>
      </c>
      <c r="R37">
        <v>115</v>
      </c>
      <c r="S37">
        <v>52</v>
      </c>
      <c r="T37" s="2">
        <v>116.917</v>
      </c>
      <c r="U37" s="2">
        <v>53.962</v>
      </c>
    </row>
    <row r="38" spans="1:21" ht="12.75">
      <c r="A38">
        <v>152</v>
      </c>
      <c r="B38">
        <v>1</v>
      </c>
      <c r="C38" t="s">
        <v>363</v>
      </c>
      <c r="D38" t="s">
        <v>17</v>
      </c>
      <c r="E38" t="s">
        <v>17</v>
      </c>
      <c r="F38" t="s">
        <v>17</v>
      </c>
      <c r="G38" t="str">
        <f>HYPERLINK("http://www.ensembl.org/Cavia_porcellus/protview?peptide=ENSCPOP00000012815","P00000012815")</f>
        <v>P00000012815</v>
      </c>
      <c r="I38" s="2">
        <v>66.9</v>
      </c>
      <c r="J38" s="4">
        <v>163</v>
      </c>
      <c r="K38" s="4">
        <v>16666</v>
      </c>
      <c r="L38" t="s">
        <v>364</v>
      </c>
      <c r="M38" s="4">
        <v>171</v>
      </c>
      <c r="N38" s="4">
        <v>171</v>
      </c>
      <c r="O38" s="6">
        <v>1</v>
      </c>
      <c r="P38">
        <v>83</v>
      </c>
      <c r="Q38">
        <v>88</v>
      </c>
      <c r="R38">
        <v>83</v>
      </c>
      <c r="S38">
        <v>88</v>
      </c>
      <c r="T38" s="2">
        <v>83</v>
      </c>
      <c r="U38" s="2">
        <v>88</v>
      </c>
    </row>
    <row r="39" spans="1:21" ht="12.75">
      <c r="A39">
        <v>220</v>
      </c>
      <c r="B39">
        <v>1</v>
      </c>
      <c r="C39" t="s">
        <v>541</v>
      </c>
      <c r="D39" t="s">
        <v>17</v>
      </c>
      <c r="E39" t="s">
        <v>542</v>
      </c>
      <c r="F39" t="s">
        <v>17</v>
      </c>
      <c r="G39" t="str">
        <f>HYPERLINK("http://www.ensembl.org/Cavia_porcellus/protview?peptide=ENSCPOP00000011718","P00000011718")</f>
        <v>P00000011718</v>
      </c>
      <c r="I39" s="2" t="s">
        <v>543</v>
      </c>
      <c r="J39" s="4" t="s">
        <v>544</v>
      </c>
      <c r="K39" s="4" t="s">
        <v>545</v>
      </c>
      <c r="L39" t="s">
        <v>546</v>
      </c>
      <c r="M39" s="4">
        <v>161</v>
      </c>
      <c r="N39" s="4">
        <v>161</v>
      </c>
      <c r="O39" s="6">
        <v>1</v>
      </c>
      <c r="P39">
        <v>78</v>
      </c>
      <c r="Q39">
        <v>83</v>
      </c>
      <c r="R39">
        <v>78</v>
      </c>
      <c r="S39">
        <v>83</v>
      </c>
      <c r="T39" s="2">
        <v>78</v>
      </c>
      <c r="U39" s="2">
        <v>83</v>
      </c>
    </row>
    <row r="40" spans="1:21" ht="12.75">
      <c r="A40">
        <v>102</v>
      </c>
      <c r="B40">
        <v>1</v>
      </c>
      <c r="C40" t="s">
        <v>249</v>
      </c>
      <c r="D40" t="s">
        <v>17</v>
      </c>
      <c r="E40" t="s">
        <v>17</v>
      </c>
      <c r="F40" t="s">
        <v>17</v>
      </c>
      <c r="G40" t="str">
        <f>HYPERLINK("http://www.ensembl.org/Cavia_porcellus/protview?peptide=ENSCPOP00000008468","P00000008468")</f>
        <v>P00000008468</v>
      </c>
      <c r="I40" s="2">
        <v>29.9</v>
      </c>
      <c r="J40" s="4">
        <v>2388</v>
      </c>
      <c r="K40" s="4">
        <v>274004</v>
      </c>
      <c r="L40" t="s">
        <v>250</v>
      </c>
      <c r="M40" s="4">
        <v>152</v>
      </c>
      <c r="N40" s="4">
        <v>152</v>
      </c>
      <c r="O40" s="6">
        <v>1</v>
      </c>
      <c r="P40">
        <v>104</v>
      </c>
      <c r="Q40">
        <v>48</v>
      </c>
      <c r="R40">
        <v>104</v>
      </c>
      <c r="S40">
        <v>48</v>
      </c>
      <c r="T40" s="2">
        <v>104</v>
      </c>
      <c r="U40" s="2">
        <v>48</v>
      </c>
    </row>
    <row r="41" spans="1:21" ht="12.75">
      <c r="A41">
        <v>35</v>
      </c>
      <c r="B41">
        <v>1</v>
      </c>
      <c r="C41" t="s">
        <v>101</v>
      </c>
      <c r="D41" t="s">
        <v>17</v>
      </c>
      <c r="E41" t="s">
        <v>17</v>
      </c>
      <c r="F41" t="s">
        <v>17</v>
      </c>
      <c r="G41" t="str">
        <f>HYPERLINK("http://www.ensembl.org/Cavia_porcellus/protview?peptide=ENSCPOP00000002414","P00000002414")</f>
        <v>P00000002414</v>
      </c>
      <c r="I41" s="2">
        <v>72.8</v>
      </c>
      <c r="J41" s="4">
        <v>452</v>
      </c>
      <c r="K41" s="4">
        <v>49786</v>
      </c>
      <c r="L41" t="s">
        <v>102</v>
      </c>
      <c r="M41" s="4">
        <v>134</v>
      </c>
      <c r="N41" s="4">
        <v>134</v>
      </c>
      <c r="O41" s="6">
        <v>1</v>
      </c>
      <c r="P41">
        <v>78</v>
      </c>
      <c r="Q41">
        <v>56</v>
      </c>
      <c r="R41">
        <v>78</v>
      </c>
      <c r="S41">
        <v>56</v>
      </c>
      <c r="T41" s="2">
        <v>78</v>
      </c>
      <c r="U41" s="2">
        <v>56</v>
      </c>
    </row>
    <row r="42" spans="1:21" ht="12.75">
      <c r="A42">
        <v>195</v>
      </c>
      <c r="B42">
        <v>1</v>
      </c>
      <c r="C42" t="s">
        <v>460</v>
      </c>
      <c r="D42" t="s">
        <v>17</v>
      </c>
      <c r="E42" t="s">
        <v>17</v>
      </c>
      <c r="F42" t="s">
        <v>419</v>
      </c>
      <c r="G42" t="str">
        <f>HYPERLINK("http://www.ensembl.org/Cavia_porcellus/protview?peptide=ENSCPOP00000020165","P00000020165")</f>
        <v>P00000020165</v>
      </c>
      <c r="I42" s="2">
        <v>78.1</v>
      </c>
      <c r="J42" s="4">
        <v>151</v>
      </c>
      <c r="K42" s="4">
        <v>17085</v>
      </c>
      <c r="L42" t="s">
        <v>461</v>
      </c>
      <c r="M42" s="4">
        <v>129</v>
      </c>
      <c r="N42" s="4">
        <v>38</v>
      </c>
      <c r="O42" s="6">
        <v>0.295</v>
      </c>
      <c r="P42">
        <v>69</v>
      </c>
      <c r="Q42">
        <v>60</v>
      </c>
      <c r="R42">
        <v>19</v>
      </c>
      <c r="S42">
        <v>19</v>
      </c>
      <c r="T42" s="2">
        <v>32.971</v>
      </c>
      <c r="U42" s="2">
        <v>31.172</v>
      </c>
    </row>
    <row r="43" spans="1:21" ht="12.75">
      <c r="A43">
        <v>33</v>
      </c>
      <c r="B43">
        <v>1</v>
      </c>
      <c r="C43" t="s">
        <v>97</v>
      </c>
      <c r="D43" t="s">
        <v>17</v>
      </c>
      <c r="E43" t="s">
        <v>17</v>
      </c>
      <c r="F43" t="s">
        <v>17</v>
      </c>
      <c r="G43" t="str">
        <f>HYPERLINK("http://www.ensembl.org/Cavia_porcellus/protview?peptide=ENSCPOP00000002296","P00000002296")</f>
        <v>P00000002296</v>
      </c>
      <c r="I43" s="2">
        <v>66.7</v>
      </c>
      <c r="J43" s="4">
        <v>327</v>
      </c>
      <c r="K43" s="4">
        <v>36711</v>
      </c>
      <c r="L43" t="s">
        <v>98</v>
      </c>
      <c r="M43" s="4">
        <v>128</v>
      </c>
      <c r="N43" s="4">
        <v>128</v>
      </c>
      <c r="O43" s="6">
        <v>1</v>
      </c>
      <c r="P43">
        <v>75</v>
      </c>
      <c r="Q43">
        <v>53</v>
      </c>
      <c r="R43">
        <v>75</v>
      </c>
      <c r="S43">
        <v>53</v>
      </c>
      <c r="T43" s="2">
        <v>75</v>
      </c>
      <c r="U43" s="2">
        <v>53</v>
      </c>
    </row>
    <row r="44" spans="1:21" ht="12.75">
      <c r="A44">
        <v>113</v>
      </c>
      <c r="B44">
        <v>1</v>
      </c>
      <c r="C44" t="s">
        <v>275</v>
      </c>
      <c r="D44" t="s">
        <v>17</v>
      </c>
      <c r="E44" t="s">
        <v>17</v>
      </c>
      <c r="F44" t="s">
        <v>261</v>
      </c>
      <c r="G44" t="str">
        <f>HYPERLINK("http://www.ensembl.org/Cavia_porcellus/protview?peptide=ENSCPOP00000009906","P00000009906")</f>
        <v>P00000009906</v>
      </c>
      <c r="I44" s="2">
        <v>35.1</v>
      </c>
      <c r="J44" s="4">
        <v>376</v>
      </c>
      <c r="K44" s="4">
        <v>41896</v>
      </c>
      <c r="L44" t="s">
        <v>276</v>
      </c>
      <c r="M44" s="4">
        <v>124</v>
      </c>
      <c r="N44" s="4">
        <v>20</v>
      </c>
      <c r="O44" s="6">
        <v>0.161</v>
      </c>
      <c r="P44">
        <v>68</v>
      </c>
      <c r="Q44">
        <v>56</v>
      </c>
      <c r="R44">
        <v>13</v>
      </c>
      <c r="S44">
        <v>7</v>
      </c>
      <c r="T44" s="2">
        <v>21.823</v>
      </c>
      <c r="U44" s="2">
        <v>12.293</v>
      </c>
    </row>
    <row r="45" spans="1:21" ht="12.75">
      <c r="A45">
        <v>145</v>
      </c>
      <c r="B45">
        <v>1</v>
      </c>
      <c r="C45" t="s">
        <v>347</v>
      </c>
      <c r="D45" t="s">
        <v>17</v>
      </c>
      <c r="E45" t="s">
        <v>17</v>
      </c>
      <c r="F45" t="s">
        <v>17</v>
      </c>
      <c r="G45" t="str">
        <f>HYPERLINK("http://www.ensembl.org/Cavia_porcellus/protview?peptide=ENSCPOP00000012385","P00000012385")</f>
        <v>P00000012385</v>
      </c>
      <c r="I45" s="2">
        <v>31.1</v>
      </c>
      <c r="J45" s="4">
        <v>370</v>
      </c>
      <c r="K45" s="4">
        <v>40510</v>
      </c>
      <c r="L45" t="s">
        <v>348</v>
      </c>
      <c r="M45" s="4">
        <v>123</v>
      </c>
      <c r="N45" s="4">
        <v>123</v>
      </c>
      <c r="O45" s="6">
        <v>1</v>
      </c>
      <c r="P45">
        <v>51</v>
      </c>
      <c r="Q45">
        <v>72</v>
      </c>
      <c r="R45">
        <v>51</v>
      </c>
      <c r="S45">
        <v>72</v>
      </c>
      <c r="T45" s="2">
        <v>51</v>
      </c>
      <c r="U45" s="2">
        <v>72</v>
      </c>
    </row>
    <row r="46" spans="1:21" ht="12.75">
      <c r="A46">
        <v>84</v>
      </c>
      <c r="B46">
        <v>1</v>
      </c>
      <c r="C46" t="s">
        <v>209</v>
      </c>
      <c r="D46" t="s">
        <v>17</v>
      </c>
      <c r="E46" t="s">
        <v>17</v>
      </c>
      <c r="F46" t="s">
        <v>211</v>
      </c>
      <c r="G46" t="str">
        <f>HYPERLINK("http://www.ensembl.org/Cavia_porcellus/protview?peptide=ENSCPOP00000006706","P00000006706")</f>
        <v>P00000006706</v>
      </c>
      <c r="I46" s="2">
        <v>58.2</v>
      </c>
      <c r="J46" s="4">
        <v>364</v>
      </c>
      <c r="K46" s="4">
        <v>39408</v>
      </c>
      <c r="L46" t="s">
        <v>210</v>
      </c>
      <c r="M46" s="4">
        <v>121</v>
      </c>
      <c r="N46" s="4">
        <v>62</v>
      </c>
      <c r="O46" s="6">
        <v>0.512</v>
      </c>
      <c r="P46">
        <v>52</v>
      </c>
      <c r="Q46">
        <v>69</v>
      </c>
      <c r="R46">
        <v>24</v>
      </c>
      <c r="S46">
        <v>38</v>
      </c>
      <c r="T46" s="2">
        <v>28.45</v>
      </c>
      <c r="U46" s="2">
        <v>44.731</v>
      </c>
    </row>
    <row r="47" spans="1:21" ht="12.75">
      <c r="A47">
        <v>97</v>
      </c>
      <c r="B47">
        <v>1</v>
      </c>
      <c r="C47" t="s">
        <v>238</v>
      </c>
      <c r="D47" t="s">
        <v>17</v>
      </c>
      <c r="E47" t="s">
        <v>17</v>
      </c>
      <c r="F47" t="s">
        <v>17</v>
      </c>
      <c r="G47" t="str">
        <f>HYPERLINK("http://www.ensembl.org/Cavia_porcellus/protview?peptide=ENSCPOP00000008101","P00000008101")</f>
        <v>P00000008101</v>
      </c>
      <c r="I47" s="2">
        <v>56.7</v>
      </c>
      <c r="J47" s="4">
        <v>531</v>
      </c>
      <c r="K47" s="4">
        <v>57712</v>
      </c>
      <c r="L47" t="s">
        <v>239</v>
      </c>
      <c r="M47" s="4">
        <v>117</v>
      </c>
      <c r="N47" s="4">
        <v>117</v>
      </c>
      <c r="O47" s="6">
        <v>1</v>
      </c>
      <c r="P47">
        <v>68</v>
      </c>
      <c r="Q47">
        <v>49</v>
      </c>
      <c r="R47">
        <v>68</v>
      </c>
      <c r="S47">
        <v>49</v>
      </c>
      <c r="T47" s="2">
        <v>68</v>
      </c>
      <c r="U47" s="2">
        <v>49</v>
      </c>
    </row>
    <row r="48" spans="1:21" ht="12.75">
      <c r="A48">
        <v>79</v>
      </c>
      <c r="B48">
        <v>1</v>
      </c>
      <c r="C48" t="s">
        <v>198</v>
      </c>
      <c r="D48" t="s">
        <v>17</v>
      </c>
      <c r="E48" t="s">
        <v>17</v>
      </c>
      <c r="F48" t="s">
        <v>17</v>
      </c>
      <c r="G48" t="str">
        <f>HYPERLINK("http://www.ensembl.org/Cavia_porcellus/protview?peptide=ENSCPOP00000006176","P00000006176")</f>
        <v>P00000006176</v>
      </c>
      <c r="I48" s="2">
        <v>61.4</v>
      </c>
      <c r="J48" s="4">
        <v>189</v>
      </c>
      <c r="K48" s="4">
        <v>20038</v>
      </c>
      <c r="L48" t="s">
        <v>199</v>
      </c>
      <c r="M48" s="4">
        <v>116</v>
      </c>
      <c r="N48" s="4">
        <v>116</v>
      </c>
      <c r="O48" s="6">
        <v>1</v>
      </c>
      <c r="P48">
        <v>59</v>
      </c>
      <c r="Q48">
        <v>57</v>
      </c>
      <c r="R48">
        <v>59</v>
      </c>
      <c r="S48">
        <v>57</v>
      </c>
      <c r="T48" s="2">
        <v>59</v>
      </c>
      <c r="U48" s="2">
        <v>57</v>
      </c>
    </row>
    <row r="49" spans="1:21" ht="12.75">
      <c r="A49">
        <v>222</v>
      </c>
      <c r="B49">
        <v>1</v>
      </c>
      <c r="C49" t="s">
        <v>554</v>
      </c>
      <c r="D49" t="s">
        <v>17</v>
      </c>
      <c r="E49" t="s">
        <v>555</v>
      </c>
      <c r="F49" t="s">
        <v>17</v>
      </c>
      <c r="G49" t="str">
        <f>HYPERLINK("http://www.ensembl.org/Cavia_porcellus/protview?peptide=ENSCPOP00000015876","P00000015876")</f>
        <v>P00000015876</v>
      </c>
      <c r="I49" s="2" t="s">
        <v>556</v>
      </c>
      <c r="J49" s="4" t="s">
        <v>557</v>
      </c>
      <c r="K49" s="4" t="s">
        <v>558</v>
      </c>
      <c r="L49" t="s">
        <v>559</v>
      </c>
      <c r="M49" s="4">
        <v>116</v>
      </c>
      <c r="N49" s="4">
        <v>116</v>
      </c>
      <c r="O49" s="6">
        <v>1</v>
      </c>
      <c r="P49">
        <v>54</v>
      </c>
      <c r="Q49">
        <v>62</v>
      </c>
      <c r="R49">
        <v>54</v>
      </c>
      <c r="S49">
        <v>62</v>
      </c>
      <c r="T49" s="2">
        <v>54</v>
      </c>
      <c r="U49" s="2">
        <v>62</v>
      </c>
    </row>
    <row r="50" spans="1:21" ht="12.75">
      <c r="A50">
        <v>82</v>
      </c>
      <c r="B50">
        <v>1</v>
      </c>
      <c r="C50" t="s">
        <v>204</v>
      </c>
      <c r="D50" t="s">
        <v>17</v>
      </c>
      <c r="E50" t="s">
        <v>17</v>
      </c>
      <c r="F50" t="s">
        <v>206</v>
      </c>
      <c r="G50" t="str">
        <f>HYPERLINK("http://www.ensembl.org/Cavia_porcellus/protview?peptide=ENSCPOP00000006437","P00000006437")</f>
        <v>P00000006437</v>
      </c>
      <c r="I50" s="2">
        <v>45.2</v>
      </c>
      <c r="J50" s="4">
        <v>334</v>
      </c>
      <c r="K50" s="4">
        <v>36555</v>
      </c>
      <c r="L50" t="s">
        <v>205</v>
      </c>
      <c r="M50" s="4">
        <v>99</v>
      </c>
      <c r="N50" s="4">
        <v>79</v>
      </c>
      <c r="O50" s="6">
        <v>0.798</v>
      </c>
      <c r="P50">
        <v>51</v>
      </c>
      <c r="Q50">
        <v>48</v>
      </c>
      <c r="R50">
        <v>42</v>
      </c>
      <c r="S50">
        <v>37</v>
      </c>
      <c r="T50" s="2">
        <v>44.377</v>
      </c>
      <c r="U50" s="2">
        <v>39.643</v>
      </c>
    </row>
    <row r="51" spans="1:21" ht="12.75">
      <c r="A51">
        <v>140</v>
      </c>
      <c r="B51">
        <v>1</v>
      </c>
      <c r="C51" t="s">
        <v>337</v>
      </c>
      <c r="D51" t="s">
        <v>17</v>
      </c>
      <c r="E51" t="s">
        <v>17</v>
      </c>
      <c r="F51" t="s">
        <v>173</v>
      </c>
      <c r="G51" t="str">
        <f>HYPERLINK("http://www.ensembl.org/Cavia_porcellus/protview?peptide=ENSCPOP00000012110","P00000012110")</f>
        <v>P00000012110</v>
      </c>
      <c r="I51" s="2">
        <v>48.1</v>
      </c>
      <c r="J51" s="4">
        <v>445</v>
      </c>
      <c r="K51" s="4">
        <v>50474</v>
      </c>
      <c r="L51" t="s">
        <v>338</v>
      </c>
      <c r="M51" s="4">
        <v>92</v>
      </c>
      <c r="N51" s="4">
        <v>54</v>
      </c>
      <c r="O51" s="6">
        <v>0.587</v>
      </c>
      <c r="P51">
        <v>47</v>
      </c>
      <c r="Q51">
        <v>45</v>
      </c>
      <c r="R51">
        <v>28</v>
      </c>
      <c r="S51">
        <v>26</v>
      </c>
      <c r="T51" s="2">
        <v>43.647</v>
      </c>
      <c r="U51" s="2">
        <v>41.438</v>
      </c>
    </row>
    <row r="52" spans="1:21" ht="12.75">
      <c r="A52">
        <v>185</v>
      </c>
      <c r="B52">
        <v>1</v>
      </c>
      <c r="C52" t="s">
        <v>440</v>
      </c>
      <c r="D52" t="s">
        <v>17</v>
      </c>
      <c r="E52" t="s">
        <v>17</v>
      </c>
      <c r="F52" t="s">
        <v>17</v>
      </c>
      <c r="G52" t="str">
        <f>HYPERLINK("http://www.ensembl.org/Cavia_porcellus/protview?peptide=ENSCPOP00000018442","P00000018442")</f>
        <v>P00000018442</v>
      </c>
      <c r="I52" s="2">
        <v>69.4</v>
      </c>
      <c r="J52" s="4">
        <v>144</v>
      </c>
      <c r="K52" s="4">
        <v>15970</v>
      </c>
      <c r="L52" t="s">
        <v>441</v>
      </c>
      <c r="M52" s="4">
        <v>91</v>
      </c>
      <c r="N52" s="4">
        <v>91</v>
      </c>
      <c r="O52" s="6">
        <v>1</v>
      </c>
      <c r="P52">
        <v>27</v>
      </c>
      <c r="Q52">
        <v>64</v>
      </c>
      <c r="R52">
        <v>27</v>
      </c>
      <c r="S52">
        <v>64</v>
      </c>
      <c r="T52" s="2">
        <v>27</v>
      </c>
      <c r="U52" s="2">
        <v>64</v>
      </c>
    </row>
    <row r="53" spans="1:21" ht="12.75">
      <c r="A53">
        <v>14</v>
      </c>
      <c r="B53">
        <v>1</v>
      </c>
      <c r="C53" t="s">
        <v>524</v>
      </c>
      <c r="D53" t="s">
        <v>525</v>
      </c>
      <c r="E53" t="s">
        <v>17</v>
      </c>
      <c r="F53" t="s">
        <v>17</v>
      </c>
      <c r="G53" t="str">
        <f>HYPERLINK("http://www.ensembl.org/Cavia_porcellus/protview?peptide=ENSCPOP00000000308","P00000000308")</f>
        <v>P00000000308</v>
      </c>
      <c r="I53" s="2">
        <v>45.3</v>
      </c>
      <c r="J53" s="4">
        <v>128</v>
      </c>
      <c r="K53" s="4">
        <v>14729</v>
      </c>
      <c r="L53" t="s">
        <v>54</v>
      </c>
      <c r="M53" s="4">
        <v>86</v>
      </c>
      <c r="N53" s="4">
        <v>86</v>
      </c>
      <c r="O53" s="6">
        <v>1</v>
      </c>
      <c r="P53">
        <v>42</v>
      </c>
      <c r="Q53">
        <v>44</v>
      </c>
      <c r="R53">
        <v>42</v>
      </c>
      <c r="S53">
        <v>44</v>
      </c>
      <c r="T53" s="2">
        <v>42</v>
      </c>
      <c r="U53" s="2">
        <v>44</v>
      </c>
    </row>
    <row r="54" spans="1:21" ht="12.75">
      <c r="A54">
        <v>192</v>
      </c>
      <c r="B54">
        <v>1</v>
      </c>
      <c r="C54" t="s">
        <v>454</v>
      </c>
      <c r="D54" t="s">
        <v>17</v>
      </c>
      <c r="E54" t="s">
        <v>17</v>
      </c>
      <c r="F54" t="s">
        <v>17</v>
      </c>
      <c r="G54" t="str">
        <f>HYPERLINK("http://www.ensembl.org/Cavia_porcellus/protview?peptide=ENSCPOP00000019416","P00000019416")</f>
        <v>P00000019416</v>
      </c>
      <c r="I54" s="2">
        <v>41.3</v>
      </c>
      <c r="J54" s="4">
        <v>569</v>
      </c>
      <c r="K54" s="4">
        <v>63019</v>
      </c>
      <c r="L54" t="s">
        <v>455</v>
      </c>
      <c r="M54" s="4">
        <v>86</v>
      </c>
      <c r="N54" s="4">
        <v>86</v>
      </c>
      <c r="O54" s="6">
        <v>1</v>
      </c>
      <c r="P54">
        <v>65</v>
      </c>
      <c r="Q54">
        <v>21</v>
      </c>
      <c r="R54">
        <v>65</v>
      </c>
      <c r="S54">
        <v>21</v>
      </c>
      <c r="T54" s="2">
        <v>65</v>
      </c>
      <c r="U54" s="2">
        <v>21</v>
      </c>
    </row>
    <row r="55" spans="1:21" ht="12.75">
      <c r="A55">
        <v>12</v>
      </c>
      <c r="B55">
        <v>1</v>
      </c>
      <c r="C55" t="s">
        <v>48</v>
      </c>
      <c r="D55" t="s">
        <v>17</v>
      </c>
      <c r="E55" t="s">
        <v>17</v>
      </c>
      <c r="F55" t="s">
        <v>17</v>
      </c>
      <c r="G55" t="str">
        <f>HYPERLINK("http://www.ensembl.org/Cavia_porcellus/protview?peptide=ENSCPOP00000000062","P00000000062")</f>
        <v>P00000000062</v>
      </c>
      <c r="I55" s="2">
        <v>50.6</v>
      </c>
      <c r="J55" s="4">
        <v>597</v>
      </c>
      <c r="K55" s="4">
        <v>64967</v>
      </c>
      <c r="L55" t="s">
        <v>49</v>
      </c>
      <c r="M55" s="4">
        <v>78</v>
      </c>
      <c r="N55" s="4">
        <v>78</v>
      </c>
      <c r="O55" s="6">
        <v>1</v>
      </c>
      <c r="P55">
        <v>52</v>
      </c>
      <c r="Q55">
        <v>26</v>
      </c>
      <c r="R55">
        <v>52</v>
      </c>
      <c r="S55">
        <v>26</v>
      </c>
      <c r="T55" s="2">
        <v>52</v>
      </c>
      <c r="U55" s="2">
        <v>26</v>
      </c>
    </row>
    <row r="56" spans="1:21" ht="12.75">
      <c r="A56">
        <v>141</v>
      </c>
      <c r="B56">
        <v>1</v>
      </c>
      <c r="C56" t="s">
        <v>339</v>
      </c>
      <c r="D56" t="s">
        <v>17</v>
      </c>
      <c r="E56" t="s">
        <v>17</v>
      </c>
      <c r="F56" t="s">
        <v>17</v>
      </c>
      <c r="G56" t="str">
        <f>HYPERLINK("http://www.ensembl.org/Cavia_porcellus/protview?peptide=ENSCPOP00000012172","P00000012172")</f>
        <v>P00000012172</v>
      </c>
      <c r="I56" s="2">
        <v>80.9</v>
      </c>
      <c r="J56" s="4">
        <v>115</v>
      </c>
      <c r="K56" s="4">
        <v>12514</v>
      </c>
      <c r="L56" t="s">
        <v>340</v>
      </c>
      <c r="M56" s="4">
        <v>76</v>
      </c>
      <c r="N56" s="4">
        <v>76</v>
      </c>
      <c r="O56" s="6">
        <v>1</v>
      </c>
      <c r="P56">
        <v>37</v>
      </c>
      <c r="Q56">
        <v>39</v>
      </c>
      <c r="R56">
        <v>37</v>
      </c>
      <c r="S56">
        <v>39</v>
      </c>
      <c r="T56" s="2">
        <v>37</v>
      </c>
      <c r="U56" s="2">
        <v>39</v>
      </c>
    </row>
    <row r="57" spans="1:21" ht="12.75">
      <c r="A57">
        <v>61</v>
      </c>
      <c r="B57">
        <v>1</v>
      </c>
      <c r="C57" t="s">
        <v>158</v>
      </c>
      <c r="D57" t="s">
        <v>17</v>
      </c>
      <c r="E57" t="s">
        <v>17</v>
      </c>
      <c r="F57" t="s">
        <v>17</v>
      </c>
      <c r="G57" t="str">
        <f>HYPERLINK("http://www.ensembl.org/Cavia_porcellus/protview?peptide=ENSCPOP00000004691","P00000004691")</f>
        <v>P00000004691</v>
      </c>
      <c r="I57" s="2">
        <v>67.8</v>
      </c>
      <c r="J57" s="4">
        <v>183</v>
      </c>
      <c r="K57" s="4">
        <v>21310</v>
      </c>
      <c r="L57" t="s">
        <v>159</v>
      </c>
      <c r="M57" s="4">
        <v>73</v>
      </c>
      <c r="N57" s="4">
        <v>73</v>
      </c>
      <c r="O57" s="6">
        <v>1</v>
      </c>
      <c r="P57">
        <v>40</v>
      </c>
      <c r="Q57">
        <v>33</v>
      </c>
      <c r="R57">
        <v>40</v>
      </c>
      <c r="S57">
        <v>33</v>
      </c>
      <c r="T57" s="2">
        <v>40</v>
      </c>
      <c r="U57" s="2">
        <v>33</v>
      </c>
    </row>
    <row r="58" spans="1:21" ht="12.75">
      <c r="A58">
        <v>127</v>
      </c>
      <c r="B58">
        <v>1</v>
      </c>
      <c r="C58" t="s">
        <v>308</v>
      </c>
      <c r="D58" t="s">
        <v>17</v>
      </c>
      <c r="E58" t="s">
        <v>17</v>
      </c>
      <c r="F58" t="s">
        <v>17</v>
      </c>
      <c r="G58" t="str">
        <f>HYPERLINK("http://www.ensembl.org/Cavia_porcellus/protview?peptide=ENSCPOP00000011060","P00000011060")</f>
        <v>P00000011060</v>
      </c>
      <c r="I58" s="2">
        <v>48.1</v>
      </c>
      <c r="J58" s="4">
        <v>133</v>
      </c>
      <c r="K58" s="4">
        <v>14900</v>
      </c>
      <c r="L58" t="s">
        <v>309</v>
      </c>
      <c r="M58" s="4">
        <v>72</v>
      </c>
      <c r="N58" s="4">
        <v>72</v>
      </c>
      <c r="O58" s="6">
        <v>1</v>
      </c>
      <c r="P58">
        <v>39</v>
      </c>
      <c r="Q58">
        <v>33</v>
      </c>
      <c r="R58">
        <v>39</v>
      </c>
      <c r="S58">
        <v>33</v>
      </c>
      <c r="T58" s="2">
        <v>39</v>
      </c>
      <c r="U58" s="2">
        <v>33</v>
      </c>
    </row>
    <row r="59" spans="1:21" ht="12.75">
      <c r="A59">
        <v>90</v>
      </c>
      <c r="B59">
        <v>1</v>
      </c>
      <c r="C59" t="s">
        <v>223</v>
      </c>
      <c r="D59" t="s">
        <v>17</v>
      </c>
      <c r="E59" t="s">
        <v>17</v>
      </c>
      <c r="F59" t="s">
        <v>225</v>
      </c>
      <c r="G59" t="str">
        <f>HYPERLINK("http://www.ensembl.org/Cavia_porcellus/protview?peptide=ENSCPOP00000007207","P00000007207")</f>
        <v>P00000007207</v>
      </c>
      <c r="I59" s="2">
        <v>45.5</v>
      </c>
      <c r="J59" s="4">
        <v>255</v>
      </c>
      <c r="K59" s="4">
        <v>29027</v>
      </c>
      <c r="L59" t="s">
        <v>224</v>
      </c>
      <c r="M59" s="4">
        <v>71</v>
      </c>
      <c r="N59" s="4">
        <v>52</v>
      </c>
      <c r="O59" s="6">
        <v>0.732</v>
      </c>
      <c r="P59">
        <v>55</v>
      </c>
      <c r="Q59">
        <v>16</v>
      </c>
      <c r="R59">
        <v>39</v>
      </c>
      <c r="S59">
        <v>13</v>
      </c>
      <c r="T59" s="2">
        <v>44.571</v>
      </c>
      <c r="U59" s="2">
        <v>14.026</v>
      </c>
    </row>
    <row r="60" spans="1:21" ht="12.75">
      <c r="A60">
        <v>148</v>
      </c>
      <c r="B60">
        <v>1</v>
      </c>
      <c r="C60" t="s">
        <v>354</v>
      </c>
      <c r="D60" t="s">
        <v>17</v>
      </c>
      <c r="E60" t="s">
        <v>17</v>
      </c>
      <c r="F60" t="s">
        <v>59</v>
      </c>
      <c r="G60" t="str">
        <f>HYPERLINK("http://www.ensembl.org/Cavia_porcellus/protview?peptide=ENSCPOP00000012665","P00000012665")</f>
        <v>P00000012665</v>
      </c>
      <c r="I60" s="2">
        <v>49.1</v>
      </c>
      <c r="J60" s="4">
        <v>352</v>
      </c>
      <c r="K60" s="4">
        <v>38573</v>
      </c>
      <c r="L60" t="s">
        <v>355</v>
      </c>
      <c r="M60" s="4">
        <v>67</v>
      </c>
      <c r="N60" s="4">
        <v>66</v>
      </c>
      <c r="O60" s="6">
        <v>0.985</v>
      </c>
      <c r="P60">
        <v>41</v>
      </c>
      <c r="Q60">
        <v>26</v>
      </c>
      <c r="R60">
        <v>40</v>
      </c>
      <c r="S60">
        <v>26</v>
      </c>
      <c r="T60" s="2">
        <v>40.952</v>
      </c>
      <c r="U60" s="2">
        <v>26</v>
      </c>
    </row>
    <row r="61" spans="1:21" ht="12.75">
      <c r="A61">
        <v>164</v>
      </c>
      <c r="B61">
        <v>1</v>
      </c>
      <c r="C61" t="s">
        <v>388</v>
      </c>
      <c r="D61" t="s">
        <v>17</v>
      </c>
      <c r="E61" t="s">
        <v>17</v>
      </c>
      <c r="F61" t="s">
        <v>225</v>
      </c>
      <c r="G61" t="str">
        <f>HYPERLINK("http://www.ensembl.org/Cavia_porcellus/protview?peptide=ENSCPOP00000014893","P00000014893")</f>
        <v>P00000014893</v>
      </c>
      <c r="I61" s="2">
        <v>46.1</v>
      </c>
      <c r="J61" s="4">
        <v>245</v>
      </c>
      <c r="K61" s="4">
        <v>27746</v>
      </c>
      <c r="L61" t="s">
        <v>389</v>
      </c>
      <c r="M61" s="4">
        <v>67</v>
      </c>
      <c r="N61" s="4">
        <v>48</v>
      </c>
      <c r="O61" s="6">
        <v>0.716</v>
      </c>
      <c r="P61">
        <v>53</v>
      </c>
      <c r="Q61">
        <v>14</v>
      </c>
      <c r="R61">
        <v>37</v>
      </c>
      <c r="S61">
        <v>11</v>
      </c>
      <c r="T61" s="2">
        <v>42.286</v>
      </c>
      <c r="U61" s="2">
        <v>11.868</v>
      </c>
    </row>
    <row r="62" spans="1:21" ht="12.75">
      <c r="A62">
        <v>94</v>
      </c>
      <c r="B62">
        <v>1</v>
      </c>
      <c r="C62" t="s">
        <v>232</v>
      </c>
      <c r="D62" t="s">
        <v>17</v>
      </c>
      <c r="E62" t="s">
        <v>17</v>
      </c>
      <c r="F62" t="s">
        <v>17</v>
      </c>
      <c r="G62" t="str">
        <f>HYPERLINK("http://www.ensembl.org/Cavia_porcellus/protview?peptide=ENSCPOP00000007694","P00000007694")</f>
        <v>P00000007694</v>
      </c>
      <c r="I62" s="2">
        <v>39.8</v>
      </c>
      <c r="J62" s="4">
        <v>558</v>
      </c>
      <c r="K62" s="4">
        <v>62815</v>
      </c>
      <c r="L62" t="s">
        <v>233</v>
      </c>
      <c r="M62" s="4">
        <v>66</v>
      </c>
      <c r="N62" s="4">
        <v>66</v>
      </c>
      <c r="O62" s="6">
        <v>1</v>
      </c>
      <c r="P62">
        <v>33</v>
      </c>
      <c r="Q62">
        <v>33</v>
      </c>
      <c r="R62">
        <v>33</v>
      </c>
      <c r="S62">
        <v>33</v>
      </c>
      <c r="T62" s="2">
        <v>33</v>
      </c>
      <c r="U62" s="2">
        <v>33</v>
      </c>
    </row>
    <row r="63" spans="1:21" ht="12.75">
      <c r="A63">
        <v>172</v>
      </c>
      <c r="B63">
        <v>1</v>
      </c>
      <c r="C63" t="s">
        <v>409</v>
      </c>
      <c r="D63" t="s">
        <v>17</v>
      </c>
      <c r="E63" t="s">
        <v>17</v>
      </c>
      <c r="F63" t="s">
        <v>17</v>
      </c>
      <c r="G63" t="str">
        <f>HYPERLINK("http://www.ensembl.org/Cavia_porcellus/protview?peptide=ENSCPOP00000016078","P00000016078")</f>
        <v>P00000016078</v>
      </c>
      <c r="I63" s="2">
        <v>24.8</v>
      </c>
      <c r="J63" s="4">
        <v>646</v>
      </c>
      <c r="K63" s="4">
        <v>71326</v>
      </c>
      <c r="L63" t="s">
        <v>410</v>
      </c>
      <c r="M63" s="4">
        <v>66</v>
      </c>
      <c r="N63" s="4">
        <v>66</v>
      </c>
      <c r="O63" s="6">
        <v>1</v>
      </c>
      <c r="P63">
        <v>36</v>
      </c>
      <c r="Q63">
        <v>30</v>
      </c>
      <c r="R63">
        <v>36</v>
      </c>
      <c r="S63">
        <v>30</v>
      </c>
      <c r="T63" s="2">
        <v>36</v>
      </c>
      <c r="U63" s="2">
        <v>30</v>
      </c>
    </row>
    <row r="64" spans="1:21" ht="12.75">
      <c r="A64">
        <v>72</v>
      </c>
      <c r="B64">
        <v>1</v>
      </c>
      <c r="C64" t="s">
        <v>183</v>
      </c>
      <c r="D64" t="s">
        <v>17</v>
      </c>
      <c r="E64" t="s">
        <v>17</v>
      </c>
      <c r="F64" t="s">
        <v>17</v>
      </c>
      <c r="G64" t="str">
        <f>HYPERLINK("http://www.ensembl.org/Cavia_porcellus/protview?peptide=ENSCPOP00000005768","P00000005768")</f>
        <v>P00000005768</v>
      </c>
      <c r="I64" s="2">
        <v>54</v>
      </c>
      <c r="J64" s="4">
        <v>339</v>
      </c>
      <c r="K64" s="4">
        <v>38644</v>
      </c>
      <c r="L64" t="s">
        <v>184</v>
      </c>
      <c r="M64" s="4">
        <v>62</v>
      </c>
      <c r="N64" s="4">
        <v>62</v>
      </c>
      <c r="O64" s="6">
        <v>1</v>
      </c>
      <c r="P64">
        <v>29</v>
      </c>
      <c r="Q64">
        <v>33</v>
      </c>
      <c r="R64">
        <v>29</v>
      </c>
      <c r="S64">
        <v>33</v>
      </c>
      <c r="T64" s="2">
        <v>29</v>
      </c>
      <c r="U64" s="2">
        <v>33</v>
      </c>
    </row>
    <row r="65" spans="1:21" ht="12.75">
      <c r="A65">
        <v>133</v>
      </c>
      <c r="B65">
        <v>1</v>
      </c>
      <c r="C65" t="s">
        <v>320</v>
      </c>
      <c r="D65" t="s">
        <v>17</v>
      </c>
      <c r="E65" t="s">
        <v>17</v>
      </c>
      <c r="F65" t="s">
        <v>17</v>
      </c>
      <c r="G65" t="str">
        <f>HYPERLINK("http://www.ensembl.org/Cavia_porcellus/protview?peptide=ENSCPOP00000011567","P00000011567")</f>
        <v>P00000011567</v>
      </c>
      <c r="I65" s="2">
        <v>59.1</v>
      </c>
      <c r="J65" s="4">
        <v>323</v>
      </c>
      <c r="K65" s="4">
        <v>36359</v>
      </c>
      <c r="L65" t="s">
        <v>321</v>
      </c>
      <c r="M65" s="4">
        <v>61</v>
      </c>
      <c r="N65" s="4">
        <v>61</v>
      </c>
      <c r="O65" s="6">
        <v>1</v>
      </c>
      <c r="P65">
        <v>31</v>
      </c>
      <c r="Q65">
        <v>30</v>
      </c>
      <c r="R65">
        <v>31</v>
      </c>
      <c r="S65">
        <v>30</v>
      </c>
      <c r="T65" s="2">
        <v>31</v>
      </c>
      <c r="U65" s="2">
        <v>30</v>
      </c>
    </row>
    <row r="66" spans="1:21" ht="12.75">
      <c r="A66">
        <v>194</v>
      </c>
      <c r="B66">
        <v>1</v>
      </c>
      <c r="C66" t="s">
        <v>458</v>
      </c>
      <c r="D66" t="s">
        <v>17</v>
      </c>
      <c r="E66" t="s">
        <v>17</v>
      </c>
      <c r="F66" t="s">
        <v>218</v>
      </c>
      <c r="G66" t="str">
        <f>HYPERLINK("http://www.ensembl.org/Cavia_porcellus/protview?peptide=ENSCPOP00000019620","P00000019620")</f>
        <v>P00000019620</v>
      </c>
      <c r="I66" s="2">
        <v>68.3</v>
      </c>
      <c r="J66" s="4">
        <v>218</v>
      </c>
      <c r="K66" s="4">
        <v>25696</v>
      </c>
      <c r="L66" t="s">
        <v>459</v>
      </c>
      <c r="M66" s="4">
        <v>57</v>
      </c>
      <c r="N66" s="4">
        <v>26</v>
      </c>
      <c r="O66" s="6">
        <v>0.456</v>
      </c>
      <c r="P66">
        <v>32</v>
      </c>
      <c r="Q66">
        <v>25</v>
      </c>
      <c r="R66">
        <v>14</v>
      </c>
      <c r="S66">
        <v>12</v>
      </c>
      <c r="T66" s="2">
        <v>25.13</v>
      </c>
      <c r="U66" s="2">
        <v>19.143</v>
      </c>
    </row>
    <row r="67" spans="1:21" ht="12.75">
      <c r="A67">
        <v>92</v>
      </c>
      <c r="B67">
        <v>1</v>
      </c>
      <c r="C67" t="s">
        <v>228</v>
      </c>
      <c r="D67" t="s">
        <v>17</v>
      </c>
      <c r="E67" t="s">
        <v>17</v>
      </c>
      <c r="F67" t="s">
        <v>17</v>
      </c>
      <c r="G67" t="str">
        <f>HYPERLINK("http://www.ensembl.org/Cavia_porcellus/protview?peptide=ENSCPOP00000007540","P00000007540")</f>
        <v>P00000007540</v>
      </c>
      <c r="I67" s="2">
        <v>26.8</v>
      </c>
      <c r="J67" s="4">
        <v>735</v>
      </c>
      <c r="K67" s="4">
        <v>81034</v>
      </c>
      <c r="L67" t="s">
        <v>229</v>
      </c>
      <c r="M67" s="4">
        <v>52</v>
      </c>
      <c r="N67" s="4">
        <v>52</v>
      </c>
      <c r="O67" s="6">
        <v>1</v>
      </c>
      <c r="P67">
        <v>28</v>
      </c>
      <c r="Q67">
        <v>24</v>
      </c>
      <c r="R67">
        <v>28</v>
      </c>
      <c r="S67">
        <v>24</v>
      </c>
      <c r="T67" s="2">
        <v>28</v>
      </c>
      <c r="U67" s="2">
        <v>24</v>
      </c>
    </row>
    <row r="68" spans="1:21" ht="12.75">
      <c r="A68">
        <v>67</v>
      </c>
      <c r="B68">
        <v>1</v>
      </c>
      <c r="C68" t="s">
        <v>171</v>
      </c>
      <c r="D68" t="s">
        <v>17</v>
      </c>
      <c r="E68" t="s">
        <v>17</v>
      </c>
      <c r="F68" t="s">
        <v>173</v>
      </c>
      <c r="G68" t="str">
        <f>HYPERLINK("http://www.ensembl.org/Cavia_porcellus/protview?peptide=ENSCPOP00000005390","P00000005390")</f>
        <v>P00000005390</v>
      </c>
      <c r="I68" s="2">
        <v>22.5</v>
      </c>
      <c r="J68" s="4">
        <v>903</v>
      </c>
      <c r="K68" s="4">
        <v>100558</v>
      </c>
      <c r="L68" t="s">
        <v>172</v>
      </c>
      <c r="M68" s="4">
        <v>50</v>
      </c>
      <c r="N68" s="4">
        <v>12</v>
      </c>
      <c r="O68" s="6">
        <v>0.24</v>
      </c>
      <c r="P68">
        <v>25</v>
      </c>
      <c r="Q68">
        <v>25</v>
      </c>
      <c r="R68">
        <v>6</v>
      </c>
      <c r="S68">
        <v>6</v>
      </c>
      <c r="T68" s="2">
        <v>9.353</v>
      </c>
      <c r="U68" s="2">
        <v>9.562</v>
      </c>
    </row>
    <row r="69" spans="1:21" ht="12.75">
      <c r="A69">
        <v>105</v>
      </c>
      <c r="B69">
        <v>1</v>
      </c>
      <c r="C69" t="s">
        <v>257</v>
      </c>
      <c r="D69" t="s">
        <v>17</v>
      </c>
      <c r="E69" t="s">
        <v>17</v>
      </c>
      <c r="F69" t="s">
        <v>225</v>
      </c>
      <c r="G69" t="str">
        <f>HYPERLINK("http://www.ensembl.org/Cavia_porcellus/protview?peptide=ENSCPOP00000009124","P00000009124")</f>
        <v>P00000009124</v>
      </c>
      <c r="I69" s="2">
        <v>46.2</v>
      </c>
      <c r="J69" s="4">
        <v>247</v>
      </c>
      <c r="K69" s="4">
        <v>28318</v>
      </c>
      <c r="L69" t="s">
        <v>258</v>
      </c>
      <c r="M69" s="4">
        <v>49</v>
      </c>
      <c r="N69" s="4">
        <v>27</v>
      </c>
      <c r="O69" s="6">
        <v>0.551</v>
      </c>
      <c r="P69">
        <v>37</v>
      </c>
      <c r="Q69">
        <v>12</v>
      </c>
      <c r="R69">
        <v>18</v>
      </c>
      <c r="S69">
        <v>9</v>
      </c>
      <c r="T69" s="2">
        <v>22.071</v>
      </c>
      <c r="U69" s="2">
        <v>9.711</v>
      </c>
    </row>
    <row r="70" spans="1:21" ht="12.75">
      <c r="A70">
        <v>28</v>
      </c>
      <c r="B70">
        <v>1</v>
      </c>
      <c r="C70" t="s">
        <v>84</v>
      </c>
      <c r="D70" t="s">
        <v>17</v>
      </c>
      <c r="E70" t="s">
        <v>17</v>
      </c>
      <c r="F70" t="s">
        <v>86</v>
      </c>
      <c r="G70" t="str">
        <f>HYPERLINK("http://www.ensembl.org/Cavia_porcellus/protview?peptide=ENSCPOP00000001822","P00000001822")</f>
        <v>P00000001822</v>
      </c>
      <c r="I70" s="2">
        <v>31.4</v>
      </c>
      <c r="J70" s="4">
        <v>733</v>
      </c>
      <c r="K70" s="4">
        <v>84789</v>
      </c>
      <c r="L70" t="s">
        <v>85</v>
      </c>
      <c r="M70" s="4">
        <v>48</v>
      </c>
      <c r="N70" s="4">
        <v>36</v>
      </c>
      <c r="O70" s="6">
        <v>0.75</v>
      </c>
      <c r="P70">
        <v>32</v>
      </c>
      <c r="Q70">
        <v>16</v>
      </c>
      <c r="R70">
        <v>25</v>
      </c>
      <c r="S70">
        <v>11</v>
      </c>
      <c r="T70" s="2">
        <v>30.833</v>
      </c>
      <c r="U70" s="2">
        <v>15.231</v>
      </c>
    </row>
    <row r="71" spans="1:21" ht="12.75">
      <c r="A71">
        <v>55</v>
      </c>
      <c r="B71">
        <v>1</v>
      </c>
      <c r="C71" t="s">
        <v>146</v>
      </c>
      <c r="D71" t="s">
        <v>17</v>
      </c>
      <c r="E71" t="s">
        <v>17</v>
      </c>
      <c r="F71" t="s">
        <v>17</v>
      </c>
      <c r="G71" t="str">
        <f>HYPERLINK("http://www.ensembl.org/Cavia_porcellus/protview?peptide=ENSCPOP00000004343","P00000004343")</f>
        <v>P00000004343</v>
      </c>
      <c r="I71" s="2">
        <v>18.8</v>
      </c>
      <c r="J71" s="4">
        <v>1080</v>
      </c>
      <c r="K71" s="4">
        <v>121937</v>
      </c>
      <c r="L71" t="s">
        <v>147</v>
      </c>
      <c r="M71" s="4">
        <v>47</v>
      </c>
      <c r="N71" s="4">
        <v>47</v>
      </c>
      <c r="O71" s="6">
        <v>1</v>
      </c>
      <c r="P71">
        <v>30</v>
      </c>
      <c r="Q71">
        <v>17</v>
      </c>
      <c r="R71">
        <v>30</v>
      </c>
      <c r="S71">
        <v>17</v>
      </c>
      <c r="T71" s="2">
        <v>30</v>
      </c>
      <c r="U71" s="2">
        <v>17</v>
      </c>
    </row>
    <row r="72" spans="1:21" ht="12.75">
      <c r="A72">
        <v>68</v>
      </c>
      <c r="B72">
        <v>1</v>
      </c>
      <c r="C72" t="s">
        <v>174</v>
      </c>
      <c r="D72" t="s">
        <v>17</v>
      </c>
      <c r="E72" t="s">
        <v>17</v>
      </c>
      <c r="F72" t="s">
        <v>17</v>
      </c>
      <c r="G72" t="str">
        <f>HYPERLINK("http://www.ensembl.org/Cavia_porcellus/protview?peptide=ENSCPOP00000005421","P00000005421")</f>
        <v>P00000005421</v>
      </c>
      <c r="I72" s="2">
        <v>6.5</v>
      </c>
      <c r="J72" s="4">
        <v>949</v>
      </c>
      <c r="K72" s="4">
        <v>105808</v>
      </c>
      <c r="L72" t="s">
        <v>175</v>
      </c>
      <c r="M72" s="4">
        <v>47</v>
      </c>
      <c r="N72" s="4">
        <v>47</v>
      </c>
      <c r="O72" s="6">
        <v>1</v>
      </c>
      <c r="P72">
        <v>22</v>
      </c>
      <c r="Q72">
        <v>25</v>
      </c>
      <c r="R72">
        <v>22</v>
      </c>
      <c r="S72">
        <v>25</v>
      </c>
      <c r="T72" s="2">
        <v>22</v>
      </c>
      <c r="U72" s="2">
        <v>25</v>
      </c>
    </row>
    <row r="73" spans="1:21" ht="12.75">
      <c r="A73">
        <v>187</v>
      </c>
      <c r="B73">
        <v>1</v>
      </c>
      <c r="C73" t="s">
        <v>444</v>
      </c>
      <c r="D73" t="s">
        <v>17</v>
      </c>
      <c r="E73" t="s">
        <v>17</v>
      </c>
      <c r="F73" t="s">
        <v>17</v>
      </c>
      <c r="G73" t="str">
        <f>HYPERLINK("http://www.ensembl.org/Cavia_porcellus/protview?peptide=ENSCPOP00000018715","P00000018715")</f>
        <v>P00000018715</v>
      </c>
      <c r="I73" s="2">
        <v>38.3</v>
      </c>
      <c r="J73" s="4">
        <v>515</v>
      </c>
      <c r="K73" s="4">
        <v>59359</v>
      </c>
      <c r="L73" t="s">
        <v>445</v>
      </c>
      <c r="M73" s="4">
        <v>47</v>
      </c>
      <c r="N73" s="4">
        <v>47</v>
      </c>
      <c r="O73" s="6">
        <v>1</v>
      </c>
      <c r="P73">
        <v>25</v>
      </c>
      <c r="Q73">
        <v>22</v>
      </c>
      <c r="R73">
        <v>25</v>
      </c>
      <c r="S73">
        <v>22</v>
      </c>
      <c r="T73" s="2">
        <v>25</v>
      </c>
      <c r="U73" s="2">
        <v>22</v>
      </c>
    </row>
    <row r="74" spans="1:21" ht="12.75">
      <c r="A74">
        <v>218</v>
      </c>
      <c r="B74">
        <v>1</v>
      </c>
      <c r="C74" t="s">
        <v>494</v>
      </c>
      <c r="D74" t="s">
        <v>17</v>
      </c>
      <c r="E74" t="s">
        <v>17</v>
      </c>
      <c r="F74" t="s">
        <v>17</v>
      </c>
      <c r="G74" t="s">
        <v>17</v>
      </c>
      <c r="H74" t="s">
        <v>477</v>
      </c>
      <c r="I74" s="2">
        <v>9.7</v>
      </c>
      <c r="J74" s="4">
        <v>725</v>
      </c>
      <c r="K74" s="4">
        <v>83346</v>
      </c>
      <c r="L74" t="s">
        <v>478</v>
      </c>
      <c r="M74" s="4">
        <v>46</v>
      </c>
      <c r="N74" s="4">
        <v>46</v>
      </c>
      <c r="O74" s="6">
        <v>1</v>
      </c>
      <c r="P74">
        <v>16</v>
      </c>
      <c r="Q74">
        <v>30</v>
      </c>
      <c r="R74">
        <v>16</v>
      </c>
      <c r="S74">
        <v>30</v>
      </c>
      <c r="T74" s="2">
        <v>16</v>
      </c>
      <c r="U74" s="2">
        <v>30</v>
      </c>
    </row>
    <row r="75" spans="1:21" ht="12.75">
      <c r="A75">
        <v>87</v>
      </c>
      <c r="B75">
        <v>1</v>
      </c>
      <c r="C75" t="s">
        <v>216</v>
      </c>
      <c r="D75" t="s">
        <v>17</v>
      </c>
      <c r="E75" t="s">
        <v>17</v>
      </c>
      <c r="F75" t="s">
        <v>218</v>
      </c>
      <c r="G75" t="str">
        <f>HYPERLINK("http://www.ensembl.org/Cavia_porcellus/protview?peptide=ENSCPOP00000007027","P00000007027")</f>
        <v>P00000007027</v>
      </c>
      <c r="I75" s="2">
        <v>46.1</v>
      </c>
      <c r="J75" s="4">
        <v>217</v>
      </c>
      <c r="K75" s="4">
        <v>25738</v>
      </c>
      <c r="L75" t="s">
        <v>217</v>
      </c>
      <c r="M75" s="4">
        <v>45</v>
      </c>
      <c r="N75" s="4">
        <v>13</v>
      </c>
      <c r="O75" s="6">
        <v>0.289</v>
      </c>
      <c r="P75">
        <v>24</v>
      </c>
      <c r="Q75">
        <v>21</v>
      </c>
      <c r="R75">
        <v>6</v>
      </c>
      <c r="S75">
        <v>7</v>
      </c>
      <c r="T75" s="2">
        <v>10.77</v>
      </c>
      <c r="U75" s="2">
        <v>11.867</v>
      </c>
    </row>
    <row r="76" spans="1:21" ht="12.75">
      <c r="A76">
        <v>5</v>
      </c>
      <c r="B76">
        <v>1</v>
      </c>
      <c r="C76" t="s">
        <v>28</v>
      </c>
      <c r="D76" t="s">
        <v>17</v>
      </c>
      <c r="E76" t="s">
        <v>17</v>
      </c>
      <c r="F76" t="s">
        <v>25</v>
      </c>
      <c r="G76" t="s">
        <v>17</v>
      </c>
      <c r="H76" t="s">
        <v>18</v>
      </c>
      <c r="I76" s="2">
        <v>20.7</v>
      </c>
      <c r="J76" s="4">
        <v>609</v>
      </c>
      <c r="K76" s="4">
        <v>69368</v>
      </c>
      <c r="L76" t="s">
        <v>29</v>
      </c>
      <c r="M76" s="4">
        <v>44</v>
      </c>
      <c r="N76" s="4">
        <v>31</v>
      </c>
      <c r="O76" s="6">
        <v>0.705</v>
      </c>
      <c r="P76">
        <v>16</v>
      </c>
      <c r="Q76">
        <v>28</v>
      </c>
      <c r="R76">
        <v>9</v>
      </c>
      <c r="S76">
        <v>22</v>
      </c>
      <c r="T76" s="2">
        <v>9.154</v>
      </c>
      <c r="U76" s="2">
        <v>23.483</v>
      </c>
    </row>
    <row r="77" spans="1:21" ht="12.75">
      <c r="A77">
        <v>112</v>
      </c>
      <c r="B77">
        <v>1</v>
      </c>
      <c r="C77" t="s">
        <v>273</v>
      </c>
      <c r="D77" t="s">
        <v>17</v>
      </c>
      <c r="E77" t="s">
        <v>17</v>
      </c>
      <c r="F77" t="s">
        <v>17</v>
      </c>
      <c r="G77" t="str">
        <f>HYPERLINK("http://www.ensembl.org/Cavia_porcellus/protview?peptide=ENSCPOP00000009825","P00000009825")</f>
        <v>P00000009825</v>
      </c>
      <c r="I77" s="2">
        <v>15.4</v>
      </c>
      <c r="J77" s="4">
        <v>2377</v>
      </c>
      <c r="K77" s="4">
        <v>276135</v>
      </c>
      <c r="L77" t="s">
        <v>274</v>
      </c>
      <c r="M77" s="4">
        <v>44</v>
      </c>
      <c r="N77" s="4">
        <v>44</v>
      </c>
      <c r="O77" s="6">
        <v>1</v>
      </c>
      <c r="P77">
        <v>32</v>
      </c>
      <c r="Q77">
        <v>12</v>
      </c>
      <c r="R77">
        <v>32</v>
      </c>
      <c r="S77">
        <v>12</v>
      </c>
      <c r="T77" s="2">
        <v>32</v>
      </c>
      <c r="U77" s="2">
        <v>12</v>
      </c>
    </row>
    <row r="78" spans="1:21" ht="12.75">
      <c r="A78">
        <v>219</v>
      </c>
      <c r="B78">
        <v>1</v>
      </c>
      <c r="C78" t="s">
        <v>534</v>
      </c>
      <c r="D78" t="s">
        <v>17</v>
      </c>
      <c r="E78" t="s">
        <v>535</v>
      </c>
      <c r="F78" t="s">
        <v>536</v>
      </c>
      <c r="G78" t="s">
        <v>17</v>
      </c>
      <c r="H78" t="s">
        <v>18</v>
      </c>
      <c r="I78" s="2" t="s">
        <v>537</v>
      </c>
      <c r="J78" s="4" t="s">
        <v>538</v>
      </c>
      <c r="K78" s="4" t="s">
        <v>539</v>
      </c>
      <c r="L78" t="s">
        <v>540</v>
      </c>
      <c r="M78" s="4">
        <v>42</v>
      </c>
      <c r="N78" s="4">
        <v>25</v>
      </c>
      <c r="O78" s="6">
        <v>0.595</v>
      </c>
      <c r="P78">
        <v>21</v>
      </c>
      <c r="Q78">
        <v>21</v>
      </c>
      <c r="R78">
        <v>13</v>
      </c>
      <c r="S78">
        <v>12</v>
      </c>
      <c r="T78" s="2">
        <v>15</v>
      </c>
      <c r="U78" s="2">
        <v>15</v>
      </c>
    </row>
    <row r="79" spans="1:21" ht="12.75">
      <c r="A79">
        <v>98</v>
      </c>
      <c r="B79">
        <v>1</v>
      </c>
      <c r="C79" t="s">
        <v>240</v>
      </c>
      <c r="D79" t="s">
        <v>17</v>
      </c>
      <c r="E79" t="s">
        <v>17</v>
      </c>
      <c r="F79" t="s">
        <v>17</v>
      </c>
      <c r="G79" t="str">
        <f>HYPERLINK("http://www.ensembl.org/Cavia_porcellus/protview?peptide=ENSCPOP00000008191","P00000008191")</f>
        <v>P00000008191</v>
      </c>
      <c r="I79" s="2">
        <v>47</v>
      </c>
      <c r="J79" s="4">
        <v>415</v>
      </c>
      <c r="K79" s="4">
        <v>45847</v>
      </c>
      <c r="L79" t="s">
        <v>241</v>
      </c>
      <c r="M79" s="4">
        <v>41</v>
      </c>
      <c r="N79" s="4">
        <v>41</v>
      </c>
      <c r="O79" s="6">
        <v>1</v>
      </c>
      <c r="P79">
        <v>27</v>
      </c>
      <c r="Q79">
        <v>14</v>
      </c>
      <c r="R79">
        <v>27</v>
      </c>
      <c r="S79">
        <v>14</v>
      </c>
      <c r="T79" s="2">
        <v>27</v>
      </c>
      <c r="U79" s="2">
        <v>14</v>
      </c>
    </row>
    <row r="80" spans="1:21" ht="12.75">
      <c r="A80">
        <v>50</v>
      </c>
      <c r="B80">
        <v>1</v>
      </c>
      <c r="C80" t="s">
        <v>136</v>
      </c>
      <c r="D80" t="s">
        <v>17</v>
      </c>
      <c r="E80" t="s">
        <v>17</v>
      </c>
      <c r="F80" t="s">
        <v>17</v>
      </c>
      <c r="G80" t="str">
        <f>HYPERLINK("http://www.ensembl.org/Cavia_porcellus/protview?peptide=ENSCPOP00000003787","P00000003787")</f>
        <v>P00000003787</v>
      </c>
      <c r="I80" s="2">
        <v>27.2</v>
      </c>
      <c r="J80" s="4">
        <v>474</v>
      </c>
      <c r="K80" s="4">
        <v>52335</v>
      </c>
      <c r="L80" t="s">
        <v>137</v>
      </c>
      <c r="M80" s="4">
        <v>40</v>
      </c>
      <c r="N80" s="4">
        <v>40</v>
      </c>
      <c r="O80" s="6">
        <v>1</v>
      </c>
      <c r="P80">
        <v>26</v>
      </c>
      <c r="Q80">
        <v>14</v>
      </c>
      <c r="R80">
        <v>26</v>
      </c>
      <c r="S80">
        <v>14</v>
      </c>
      <c r="T80" s="2">
        <v>26</v>
      </c>
      <c r="U80" s="2">
        <v>14</v>
      </c>
    </row>
    <row r="81" spans="1:21" ht="12.75">
      <c r="A81">
        <v>17</v>
      </c>
      <c r="B81">
        <v>1</v>
      </c>
      <c r="C81" t="s">
        <v>62</v>
      </c>
      <c r="D81" t="s">
        <v>17</v>
      </c>
      <c r="E81" t="s">
        <v>17</v>
      </c>
      <c r="F81" t="s">
        <v>17</v>
      </c>
      <c r="G81" t="str">
        <f>HYPERLINK("http://www.ensembl.org/Cavia_porcellus/protview?peptide=ENSCPOP00000000461","P00000000461")</f>
        <v>P00000000461</v>
      </c>
      <c r="I81" s="2">
        <v>47.8</v>
      </c>
      <c r="J81" s="4">
        <v>368</v>
      </c>
      <c r="K81" s="4">
        <v>39038</v>
      </c>
      <c r="L81" t="s">
        <v>63</v>
      </c>
      <c r="M81" s="4">
        <v>39</v>
      </c>
      <c r="N81" s="4">
        <v>39</v>
      </c>
      <c r="O81" s="6">
        <v>1</v>
      </c>
      <c r="P81">
        <v>29</v>
      </c>
      <c r="Q81">
        <v>10</v>
      </c>
      <c r="R81">
        <v>29</v>
      </c>
      <c r="S81">
        <v>10</v>
      </c>
      <c r="T81" s="2">
        <v>29</v>
      </c>
      <c r="U81" s="2">
        <v>10</v>
      </c>
    </row>
    <row r="82" spans="1:21" ht="12.75">
      <c r="A82">
        <v>110</v>
      </c>
      <c r="B82">
        <v>1</v>
      </c>
      <c r="C82" t="s">
        <v>269</v>
      </c>
      <c r="D82" t="s">
        <v>17</v>
      </c>
      <c r="E82" t="s">
        <v>17</v>
      </c>
      <c r="F82" t="s">
        <v>225</v>
      </c>
      <c r="G82" t="str">
        <f>HYPERLINK("http://www.ensembl.org/Cavia_porcellus/protview?peptide=ENSCPOP00000009701","P00000009701")</f>
        <v>P00000009701</v>
      </c>
      <c r="I82" s="2">
        <v>31.3</v>
      </c>
      <c r="J82" s="4">
        <v>246</v>
      </c>
      <c r="K82" s="4">
        <v>28213</v>
      </c>
      <c r="L82" t="s">
        <v>270</v>
      </c>
      <c r="M82" s="4">
        <v>38</v>
      </c>
      <c r="N82" s="4">
        <v>16</v>
      </c>
      <c r="O82" s="6">
        <v>0.421</v>
      </c>
      <c r="P82">
        <v>31</v>
      </c>
      <c r="Q82">
        <v>7</v>
      </c>
      <c r="R82">
        <v>12</v>
      </c>
      <c r="S82">
        <v>4</v>
      </c>
      <c r="T82" s="2">
        <v>14.714</v>
      </c>
      <c r="U82" s="2">
        <v>4.316</v>
      </c>
    </row>
    <row r="83" spans="1:21" ht="12.75">
      <c r="A83">
        <v>160</v>
      </c>
      <c r="B83">
        <v>1</v>
      </c>
      <c r="C83" t="s">
        <v>379</v>
      </c>
      <c r="D83" t="s">
        <v>17</v>
      </c>
      <c r="E83" t="s">
        <v>17</v>
      </c>
      <c r="F83" t="s">
        <v>17</v>
      </c>
      <c r="G83" t="str">
        <f>HYPERLINK("http://www.ensembl.org/Cavia_porcellus/protview?peptide=ENSCPOP00000014155","P00000014155")</f>
        <v>P00000014155</v>
      </c>
      <c r="I83" s="2">
        <v>13</v>
      </c>
      <c r="J83" s="4">
        <v>699</v>
      </c>
      <c r="K83" s="4">
        <v>77757</v>
      </c>
      <c r="L83" t="s">
        <v>380</v>
      </c>
      <c r="M83" s="4">
        <v>38</v>
      </c>
      <c r="N83" s="4">
        <v>38</v>
      </c>
      <c r="O83" s="6">
        <v>1</v>
      </c>
      <c r="P83">
        <v>16</v>
      </c>
      <c r="Q83">
        <v>22</v>
      </c>
      <c r="R83">
        <v>16</v>
      </c>
      <c r="S83">
        <v>22</v>
      </c>
      <c r="T83" s="2">
        <v>16</v>
      </c>
      <c r="U83" s="2">
        <v>22</v>
      </c>
    </row>
    <row r="84" spans="1:21" ht="12.75">
      <c r="A84">
        <v>151</v>
      </c>
      <c r="B84">
        <v>1</v>
      </c>
      <c r="C84" t="s">
        <v>360</v>
      </c>
      <c r="D84" t="s">
        <v>17</v>
      </c>
      <c r="E84" t="s">
        <v>17</v>
      </c>
      <c r="F84" t="s">
        <v>362</v>
      </c>
      <c r="G84" t="str">
        <f>HYPERLINK("http://www.ensembl.org/Cavia_porcellus/protview?peptide=ENSCPOP00000012797","P00000012797")</f>
        <v>P00000012797</v>
      </c>
      <c r="I84" s="2">
        <v>33</v>
      </c>
      <c r="J84" s="4">
        <v>218</v>
      </c>
      <c r="K84" s="4">
        <v>25770</v>
      </c>
      <c r="L84" t="s">
        <v>361</v>
      </c>
      <c r="M84" s="4">
        <v>33</v>
      </c>
      <c r="N84" s="4">
        <v>6</v>
      </c>
      <c r="O84" s="6">
        <v>0.182</v>
      </c>
      <c r="P84">
        <v>18</v>
      </c>
      <c r="Q84">
        <v>15</v>
      </c>
      <c r="R84">
        <v>3</v>
      </c>
      <c r="S84">
        <v>3</v>
      </c>
      <c r="T84" s="2">
        <v>4.957</v>
      </c>
      <c r="U84" s="2">
        <v>4.8</v>
      </c>
    </row>
    <row r="85" spans="1:21" ht="12.75">
      <c r="A85">
        <v>109</v>
      </c>
      <c r="B85">
        <v>1</v>
      </c>
      <c r="C85" t="s">
        <v>267</v>
      </c>
      <c r="D85" t="s">
        <v>17</v>
      </c>
      <c r="E85" t="s">
        <v>17</v>
      </c>
      <c r="F85" t="s">
        <v>17</v>
      </c>
      <c r="G85" t="str">
        <f>HYPERLINK("http://www.ensembl.org/Cavia_porcellus/protview?peptide=ENSCPOP00000009655","P00000009655")</f>
        <v>P00000009655</v>
      </c>
      <c r="I85" s="2">
        <v>43.4</v>
      </c>
      <c r="J85" s="4">
        <v>334</v>
      </c>
      <c r="K85" s="4">
        <v>36416</v>
      </c>
      <c r="L85" t="s">
        <v>268</v>
      </c>
      <c r="M85" s="4">
        <v>32</v>
      </c>
      <c r="N85" s="4">
        <v>32</v>
      </c>
      <c r="O85" s="6">
        <v>1</v>
      </c>
      <c r="P85">
        <v>15</v>
      </c>
      <c r="Q85">
        <v>17</v>
      </c>
      <c r="R85">
        <v>15</v>
      </c>
      <c r="S85">
        <v>17</v>
      </c>
      <c r="T85" s="2">
        <v>15</v>
      </c>
      <c r="U85" s="2">
        <v>17</v>
      </c>
    </row>
    <row r="86" spans="1:21" ht="12.75">
      <c r="A86">
        <v>120</v>
      </c>
      <c r="B86">
        <v>1</v>
      </c>
      <c r="C86" t="s">
        <v>290</v>
      </c>
      <c r="D86" t="s">
        <v>17</v>
      </c>
      <c r="E86" t="s">
        <v>17</v>
      </c>
      <c r="F86" t="s">
        <v>17</v>
      </c>
      <c r="G86" t="str">
        <f>HYPERLINK("http://www.ensembl.org/Cavia_porcellus/protview?peptide=ENSCPOP00000010441","P00000010441")</f>
        <v>P00000010441</v>
      </c>
      <c r="I86" s="2">
        <v>7.4</v>
      </c>
      <c r="J86" s="4">
        <v>1741</v>
      </c>
      <c r="K86" s="4">
        <v>202253</v>
      </c>
      <c r="L86" t="s">
        <v>291</v>
      </c>
      <c r="M86" s="4">
        <v>31</v>
      </c>
      <c r="N86" s="4">
        <v>31</v>
      </c>
      <c r="O86" s="6">
        <v>1</v>
      </c>
      <c r="P86">
        <v>13</v>
      </c>
      <c r="Q86">
        <v>18</v>
      </c>
      <c r="R86">
        <v>13</v>
      </c>
      <c r="S86">
        <v>18</v>
      </c>
      <c r="T86" s="2">
        <v>13</v>
      </c>
      <c r="U86" s="2">
        <v>18</v>
      </c>
    </row>
    <row r="87" spans="1:21" ht="12.75">
      <c r="A87">
        <v>159</v>
      </c>
      <c r="B87">
        <v>1</v>
      </c>
      <c r="C87" t="s">
        <v>377</v>
      </c>
      <c r="D87" t="s">
        <v>17</v>
      </c>
      <c r="E87" t="s">
        <v>17</v>
      </c>
      <c r="F87" t="s">
        <v>351</v>
      </c>
      <c r="G87" t="str">
        <f>HYPERLINK("http://www.ensembl.org/Cavia_porcellus/protview?peptide=ENSCPOP00000013832","P00000013832")</f>
        <v>P00000013832</v>
      </c>
      <c r="I87" s="2">
        <v>28.8</v>
      </c>
      <c r="J87" s="4">
        <v>520</v>
      </c>
      <c r="K87" s="4">
        <v>56716</v>
      </c>
      <c r="L87" t="s">
        <v>378</v>
      </c>
      <c r="M87" s="4">
        <v>31</v>
      </c>
      <c r="N87" s="4">
        <v>22</v>
      </c>
      <c r="O87" s="6">
        <v>0.71</v>
      </c>
      <c r="P87">
        <v>21</v>
      </c>
      <c r="Q87">
        <v>10</v>
      </c>
      <c r="R87">
        <v>13</v>
      </c>
      <c r="S87">
        <v>9</v>
      </c>
      <c r="T87" s="2">
        <v>13</v>
      </c>
      <c r="U87" s="2">
        <v>9</v>
      </c>
    </row>
    <row r="88" spans="1:21" ht="12.75">
      <c r="A88">
        <v>47</v>
      </c>
      <c r="B88">
        <v>1</v>
      </c>
      <c r="C88" t="s">
        <v>130</v>
      </c>
      <c r="D88" t="s">
        <v>17</v>
      </c>
      <c r="E88" t="s">
        <v>17</v>
      </c>
      <c r="F88" t="s">
        <v>17</v>
      </c>
      <c r="G88" t="str">
        <f>HYPERLINK("http://www.ensembl.org/Cavia_porcellus/protview?peptide=ENSCPOP00000003669","P00000003669")</f>
        <v>P00000003669</v>
      </c>
      <c r="I88" s="2">
        <v>25.8</v>
      </c>
      <c r="J88" s="4">
        <v>462</v>
      </c>
      <c r="K88" s="4">
        <v>50142</v>
      </c>
      <c r="L88" t="s">
        <v>131</v>
      </c>
      <c r="M88" s="4">
        <v>30</v>
      </c>
      <c r="N88" s="4">
        <v>30</v>
      </c>
      <c r="O88" s="6">
        <v>1</v>
      </c>
      <c r="P88">
        <v>10</v>
      </c>
      <c r="Q88">
        <v>20</v>
      </c>
      <c r="R88">
        <v>10</v>
      </c>
      <c r="S88">
        <v>20</v>
      </c>
      <c r="T88" s="2">
        <v>10</v>
      </c>
      <c r="U88" s="2">
        <v>20</v>
      </c>
    </row>
    <row r="89" spans="1:21" ht="12.75">
      <c r="A89">
        <v>89</v>
      </c>
      <c r="B89">
        <v>1</v>
      </c>
      <c r="C89" t="s">
        <v>221</v>
      </c>
      <c r="D89" t="s">
        <v>17</v>
      </c>
      <c r="E89" t="s">
        <v>17</v>
      </c>
      <c r="F89" t="s">
        <v>17</v>
      </c>
      <c r="G89" t="str">
        <f>HYPERLINK("http://www.ensembl.org/Cavia_porcellus/protview?peptide=ENSCPOP00000007161","P00000007161")</f>
        <v>P00000007161</v>
      </c>
      <c r="I89" s="2">
        <v>7.2</v>
      </c>
      <c r="J89" s="4">
        <v>4636</v>
      </c>
      <c r="K89" s="4">
        <v>528930</v>
      </c>
      <c r="L89" t="s">
        <v>222</v>
      </c>
      <c r="M89" s="4">
        <v>29</v>
      </c>
      <c r="N89" s="4">
        <v>29</v>
      </c>
      <c r="O89" s="6">
        <v>1</v>
      </c>
      <c r="P89">
        <v>19</v>
      </c>
      <c r="Q89">
        <v>10</v>
      </c>
      <c r="R89">
        <v>19</v>
      </c>
      <c r="S89">
        <v>10</v>
      </c>
      <c r="T89" s="2">
        <v>19</v>
      </c>
      <c r="U89" s="2">
        <v>10</v>
      </c>
    </row>
    <row r="90" spans="1:21" ht="12.75">
      <c r="A90">
        <v>23</v>
      </c>
      <c r="B90">
        <v>1</v>
      </c>
      <c r="C90" t="s">
        <v>74</v>
      </c>
      <c r="D90" t="s">
        <v>17</v>
      </c>
      <c r="E90" t="s">
        <v>17</v>
      </c>
      <c r="F90" t="s">
        <v>17</v>
      </c>
      <c r="G90" t="str">
        <f>HYPERLINK("http://www.ensembl.org/Cavia_porcellus/protview?peptide=ENSCPOP00000001508","P00000001508")</f>
        <v>P00000001508</v>
      </c>
      <c r="I90" s="2">
        <v>32.8</v>
      </c>
      <c r="J90" s="4">
        <v>402</v>
      </c>
      <c r="K90" s="4">
        <v>41687</v>
      </c>
      <c r="L90" t="s">
        <v>75</v>
      </c>
      <c r="M90" s="4">
        <v>27</v>
      </c>
      <c r="N90" s="4">
        <v>27</v>
      </c>
      <c r="O90" s="6">
        <v>1</v>
      </c>
      <c r="P90">
        <v>12</v>
      </c>
      <c r="Q90">
        <v>15</v>
      </c>
      <c r="R90">
        <v>12</v>
      </c>
      <c r="S90">
        <v>15</v>
      </c>
      <c r="T90" s="2">
        <v>12</v>
      </c>
      <c r="U90" s="2">
        <v>15</v>
      </c>
    </row>
    <row r="91" spans="1:21" ht="12.75">
      <c r="A91">
        <v>118</v>
      </c>
      <c r="B91">
        <v>1</v>
      </c>
      <c r="C91" t="s">
        <v>286</v>
      </c>
      <c r="D91" t="s">
        <v>17</v>
      </c>
      <c r="E91" t="s">
        <v>17</v>
      </c>
      <c r="F91" t="s">
        <v>225</v>
      </c>
      <c r="G91" t="str">
        <f>HYPERLINK("http://www.ensembl.org/Cavia_porcellus/protview?peptide=ENSCPOP00000010178","P00000010178")</f>
        <v>P00000010178</v>
      </c>
      <c r="I91" s="2">
        <v>31.8</v>
      </c>
      <c r="J91" s="4">
        <v>236</v>
      </c>
      <c r="K91" s="4">
        <v>26796</v>
      </c>
      <c r="L91" t="s">
        <v>287</v>
      </c>
      <c r="M91" s="4">
        <v>27</v>
      </c>
      <c r="N91" s="4">
        <v>4</v>
      </c>
      <c r="O91" s="6">
        <v>0.148</v>
      </c>
      <c r="P91">
        <v>23</v>
      </c>
      <c r="Q91">
        <v>4</v>
      </c>
      <c r="R91">
        <v>3</v>
      </c>
      <c r="S91">
        <v>1</v>
      </c>
      <c r="T91" s="2">
        <v>4.179</v>
      </c>
      <c r="U91" s="2">
        <v>1.079</v>
      </c>
    </row>
    <row r="92" spans="1:21" ht="12.75">
      <c r="A92">
        <v>199</v>
      </c>
      <c r="B92">
        <v>1</v>
      </c>
      <c r="C92" t="s">
        <v>468</v>
      </c>
      <c r="D92" t="s">
        <v>17</v>
      </c>
      <c r="E92" t="s">
        <v>17</v>
      </c>
      <c r="F92" t="s">
        <v>225</v>
      </c>
      <c r="G92" t="str">
        <f>HYPERLINK("http://www.ensembl.org/Cavia_porcellus/protview?peptide=ENSCPOP00000020366","P00000020366")</f>
        <v>P00000020366</v>
      </c>
      <c r="I92" s="2">
        <v>32.9</v>
      </c>
      <c r="J92" s="4">
        <v>246</v>
      </c>
      <c r="K92" s="4">
        <v>28083</v>
      </c>
      <c r="L92" t="s">
        <v>469</v>
      </c>
      <c r="M92" s="4">
        <v>26</v>
      </c>
      <c r="N92" s="4">
        <v>3</v>
      </c>
      <c r="O92" s="6">
        <v>0.115</v>
      </c>
      <c r="P92">
        <v>23</v>
      </c>
      <c r="Q92">
        <v>3</v>
      </c>
      <c r="R92">
        <v>3</v>
      </c>
      <c r="S92">
        <v>0</v>
      </c>
      <c r="T92" s="2">
        <v>4.179</v>
      </c>
      <c r="U92" s="2">
        <v>0</v>
      </c>
    </row>
    <row r="93" spans="1:21" ht="12.75">
      <c r="A93">
        <v>142</v>
      </c>
      <c r="B93">
        <v>1</v>
      </c>
      <c r="C93" t="s">
        <v>341</v>
      </c>
      <c r="D93" t="s">
        <v>17</v>
      </c>
      <c r="E93" t="s">
        <v>17</v>
      </c>
      <c r="F93" t="s">
        <v>17</v>
      </c>
      <c r="G93" t="str">
        <f>HYPERLINK("http://www.ensembl.org/Cavia_porcellus/protview?peptide=ENSCPOP00000012235","P00000012235")</f>
        <v>P00000012235</v>
      </c>
      <c r="I93" s="2">
        <v>43.9</v>
      </c>
      <c r="J93" s="4">
        <v>237</v>
      </c>
      <c r="K93" s="4">
        <v>26720</v>
      </c>
      <c r="L93" t="s">
        <v>342</v>
      </c>
      <c r="M93" s="4">
        <v>24</v>
      </c>
      <c r="N93" s="4">
        <v>24</v>
      </c>
      <c r="O93" s="6">
        <v>1</v>
      </c>
      <c r="P93">
        <v>10</v>
      </c>
      <c r="Q93">
        <v>14</v>
      </c>
      <c r="R93">
        <v>10</v>
      </c>
      <c r="S93">
        <v>14</v>
      </c>
      <c r="T93" s="2">
        <v>10</v>
      </c>
      <c r="U93" s="2">
        <v>14</v>
      </c>
    </row>
    <row r="94" spans="1:21" ht="12.75">
      <c r="A94">
        <v>7</v>
      </c>
      <c r="B94">
        <v>1</v>
      </c>
      <c r="C94" t="s">
        <v>36</v>
      </c>
      <c r="D94" t="s">
        <v>17</v>
      </c>
      <c r="E94" t="s">
        <v>17</v>
      </c>
      <c r="F94" t="s">
        <v>17</v>
      </c>
      <c r="G94" t="s">
        <v>17</v>
      </c>
      <c r="H94" t="s">
        <v>18</v>
      </c>
      <c r="I94" s="2">
        <v>33.9</v>
      </c>
      <c r="J94" s="4">
        <v>623</v>
      </c>
      <c r="K94" s="4">
        <v>62130</v>
      </c>
      <c r="L94" t="s">
        <v>37</v>
      </c>
      <c r="M94" s="4">
        <v>22</v>
      </c>
      <c r="N94" s="4">
        <v>22</v>
      </c>
      <c r="O94" s="6">
        <v>1</v>
      </c>
      <c r="P94">
        <v>14</v>
      </c>
      <c r="Q94">
        <v>8</v>
      </c>
      <c r="R94">
        <v>14</v>
      </c>
      <c r="S94">
        <v>8</v>
      </c>
      <c r="T94" s="2">
        <v>14</v>
      </c>
      <c r="U94" s="2">
        <v>8</v>
      </c>
    </row>
    <row r="95" spans="1:21" ht="12.75">
      <c r="A95">
        <v>27</v>
      </c>
      <c r="B95">
        <v>1</v>
      </c>
      <c r="C95" t="s">
        <v>82</v>
      </c>
      <c r="D95" t="s">
        <v>17</v>
      </c>
      <c r="E95" t="s">
        <v>17</v>
      </c>
      <c r="F95" t="s">
        <v>17</v>
      </c>
      <c r="G95" t="str">
        <f>HYPERLINK("http://www.ensembl.org/Cavia_porcellus/protview?peptide=ENSCPOP00000001766","P00000001766")</f>
        <v>P00000001766</v>
      </c>
      <c r="I95" s="2">
        <v>3.4</v>
      </c>
      <c r="J95" s="4">
        <v>998</v>
      </c>
      <c r="K95" s="4">
        <v>109038</v>
      </c>
      <c r="L95" t="s">
        <v>83</v>
      </c>
      <c r="M95" s="4">
        <v>22</v>
      </c>
      <c r="N95" s="4">
        <v>22</v>
      </c>
      <c r="O95" s="6">
        <v>1</v>
      </c>
      <c r="P95">
        <v>12</v>
      </c>
      <c r="Q95">
        <v>10</v>
      </c>
      <c r="R95">
        <v>12</v>
      </c>
      <c r="S95">
        <v>10</v>
      </c>
      <c r="T95" s="2">
        <v>12</v>
      </c>
      <c r="U95" s="2">
        <v>10</v>
      </c>
    </row>
    <row r="96" spans="1:21" ht="12.75">
      <c r="A96">
        <v>48</v>
      </c>
      <c r="B96">
        <v>1</v>
      </c>
      <c r="C96" t="s">
        <v>132</v>
      </c>
      <c r="D96" t="s">
        <v>17</v>
      </c>
      <c r="E96" t="s">
        <v>17</v>
      </c>
      <c r="F96" t="s">
        <v>17</v>
      </c>
      <c r="G96" t="str">
        <f>HYPERLINK("http://www.ensembl.org/Cavia_porcellus/protview?peptide=ENSCPOP00000003676","P00000003676")</f>
        <v>P00000003676</v>
      </c>
      <c r="I96" s="2">
        <v>4.5</v>
      </c>
      <c r="J96" s="4">
        <v>4648</v>
      </c>
      <c r="K96" s="4">
        <v>532211</v>
      </c>
      <c r="L96" t="s">
        <v>133</v>
      </c>
      <c r="M96" s="4">
        <v>22</v>
      </c>
      <c r="N96" s="4">
        <v>22</v>
      </c>
      <c r="O96" s="6">
        <v>1</v>
      </c>
      <c r="P96">
        <v>11</v>
      </c>
      <c r="Q96">
        <v>11</v>
      </c>
      <c r="R96">
        <v>11</v>
      </c>
      <c r="S96">
        <v>11</v>
      </c>
      <c r="T96" s="2">
        <v>11</v>
      </c>
      <c r="U96" s="2">
        <v>11</v>
      </c>
    </row>
    <row r="97" spans="1:21" ht="12.75">
      <c r="A97">
        <v>197</v>
      </c>
      <c r="B97">
        <v>1</v>
      </c>
      <c r="C97" t="s">
        <v>464</v>
      </c>
      <c r="D97" t="s">
        <v>17</v>
      </c>
      <c r="E97" t="s">
        <v>17</v>
      </c>
      <c r="F97" t="s">
        <v>17</v>
      </c>
      <c r="G97" t="str">
        <f>HYPERLINK("http://www.ensembl.org/Cavia_porcellus/protview?peptide=ENSCPOP00000020281","P00000020281")</f>
        <v>P00000020281</v>
      </c>
      <c r="I97" s="2">
        <v>21</v>
      </c>
      <c r="J97" s="4">
        <v>753</v>
      </c>
      <c r="K97" s="4">
        <v>82484</v>
      </c>
      <c r="L97" t="s">
        <v>465</v>
      </c>
      <c r="M97" s="4">
        <v>22</v>
      </c>
      <c r="N97" s="4">
        <v>22</v>
      </c>
      <c r="O97" s="6">
        <v>1</v>
      </c>
      <c r="P97">
        <v>13</v>
      </c>
      <c r="Q97">
        <v>9</v>
      </c>
      <c r="R97">
        <v>13</v>
      </c>
      <c r="S97">
        <v>9</v>
      </c>
      <c r="T97" s="2">
        <v>13</v>
      </c>
      <c r="U97" s="2">
        <v>9</v>
      </c>
    </row>
    <row r="98" spans="1:21" ht="12.75">
      <c r="A98">
        <v>205</v>
      </c>
      <c r="B98">
        <v>1</v>
      </c>
      <c r="C98" t="s">
        <v>481</v>
      </c>
      <c r="D98" t="s">
        <v>17</v>
      </c>
      <c r="E98" t="s">
        <v>17</v>
      </c>
      <c r="F98" t="s">
        <v>17</v>
      </c>
      <c r="G98" t="s">
        <v>17</v>
      </c>
      <c r="H98" t="s">
        <v>477</v>
      </c>
      <c r="I98" s="2">
        <v>3.4</v>
      </c>
      <c r="J98" s="4">
        <v>2645</v>
      </c>
      <c r="K98" s="4">
        <v>280752</v>
      </c>
      <c r="L98" t="s">
        <v>478</v>
      </c>
      <c r="M98" s="4">
        <v>21</v>
      </c>
      <c r="N98" s="4">
        <v>21</v>
      </c>
      <c r="O98" s="6">
        <v>1</v>
      </c>
      <c r="P98">
        <v>12</v>
      </c>
      <c r="Q98">
        <v>9</v>
      </c>
      <c r="R98">
        <v>12</v>
      </c>
      <c r="S98">
        <v>9</v>
      </c>
      <c r="T98" s="2">
        <v>12</v>
      </c>
      <c r="U98" s="2">
        <v>9</v>
      </c>
    </row>
    <row r="99" spans="1:21" ht="12.75">
      <c r="A99">
        <v>86</v>
      </c>
      <c r="B99">
        <v>1</v>
      </c>
      <c r="C99" t="s">
        <v>214</v>
      </c>
      <c r="D99" t="s">
        <v>17</v>
      </c>
      <c r="E99" t="s">
        <v>17</v>
      </c>
      <c r="F99" t="s">
        <v>32</v>
      </c>
      <c r="G99" t="str">
        <f>HYPERLINK("http://www.ensembl.org/Cavia_porcellus/protview?peptide=ENSCPOP00000006957","P00000006957")</f>
        <v>P00000006957</v>
      </c>
      <c r="I99" s="2">
        <v>26.7</v>
      </c>
      <c r="J99" s="4">
        <v>561</v>
      </c>
      <c r="K99" s="4">
        <v>59729</v>
      </c>
      <c r="L99" t="s">
        <v>215</v>
      </c>
      <c r="M99" s="4">
        <v>20</v>
      </c>
      <c r="N99" s="4">
        <v>5</v>
      </c>
      <c r="O99" s="6">
        <v>0.25</v>
      </c>
      <c r="P99">
        <v>8</v>
      </c>
      <c r="Q99">
        <v>12</v>
      </c>
      <c r="R99">
        <v>1</v>
      </c>
      <c r="S99">
        <v>4</v>
      </c>
      <c r="T99" s="2">
        <v>3</v>
      </c>
      <c r="U99" s="2">
        <v>7</v>
      </c>
    </row>
    <row r="100" spans="1:21" ht="12.75">
      <c r="A100">
        <v>137</v>
      </c>
      <c r="B100">
        <v>1</v>
      </c>
      <c r="C100" t="s">
        <v>331</v>
      </c>
      <c r="D100" t="s">
        <v>17</v>
      </c>
      <c r="E100" t="s">
        <v>17</v>
      </c>
      <c r="F100" t="s">
        <v>17</v>
      </c>
      <c r="G100" t="str">
        <f>HYPERLINK("http://www.ensembl.org/Cavia_porcellus/protview?peptide=ENSCPOP00000011810","P00000011810")</f>
        <v>P00000011810</v>
      </c>
      <c r="I100" s="2">
        <v>24.9</v>
      </c>
      <c r="J100" s="4">
        <v>511</v>
      </c>
      <c r="K100" s="4">
        <v>55292</v>
      </c>
      <c r="L100" t="s">
        <v>332</v>
      </c>
      <c r="M100" s="4">
        <v>20</v>
      </c>
      <c r="N100" s="4">
        <v>20</v>
      </c>
      <c r="O100" s="6">
        <v>1</v>
      </c>
      <c r="P100">
        <v>12</v>
      </c>
      <c r="Q100">
        <v>8</v>
      </c>
      <c r="R100">
        <v>12</v>
      </c>
      <c r="S100">
        <v>8</v>
      </c>
      <c r="T100" s="2">
        <v>12</v>
      </c>
      <c r="U100" s="2">
        <v>8</v>
      </c>
    </row>
    <row r="101" spans="1:21" ht="12.75">
      <c r="A101">
        <v>149</v>
      </c>
      <c r="B101">
        <v>1</v>
      </c>
      <c r="C101" t="s">
        <v>356</v>
      </c>
      <c r="D101" t="s">
        <v>17</v>
      </c>
      <c r="E101" t="s">
        <v>17</v>
      </c>
      <c r="F101" t="s">
        <v>17</v>
      </c>
      <c r="G101" t="str">
        <f>HYPERLINK("http://www.ensembl.org/Cavia_porcellus/protview?peptide=ENSCPOP00000012735","P00000012735")</f>
        <v>P00000012735</v>
      </c>
      <c r="I101" s="2">
        <v>53.5</v>
      </c>
      <c r="J101" s="4">
        <v>202</v>
      </c>
      <c r="K101" s="4">
        <v>22470</v>
      </c>
      <c r="L101" t="s">
        <v>357</v>
      </c>
      <c r="M101" s="4">
        <v>20</v>
      </c>
      <c r="N101" s="4">
        <v>20</v>
      </c>
      <c r="O101" s="6">
        <v>1</v>
      </c>
      <c r="P101">
        <v>10</v>
      </c>
      <c r="Q101">
        <v>10</v>
      </c>
      <c r="R101">
        <v>10</v>
      </c>
      <c r="S101">
        <v>10</v>
      </c>
      <c r="T101" s="2">
        <v>10</v>
      </c>
      <c r="U101" s="2">
        <v>10</v>
      </c>
    </row>
    <row r="102" spans="1:21" ht="12.75">
      <c r="A102">
        <v>10</v>
      </c>
      <c r="B102">
        <v>1</v>
      </c>
      <c r="C102" t="s">
        <v>522</v>
      </c>
      <c r="D102" t="s">
        <v>523</v>
      </c>
      <c r="E102" t="s">
        <v>17</v>
      </c>
      <c r="F102" t="s">
        <v>17</v>
      </c>
      <c r="G102" t="s">
        <v>17</v>
      </c>
      <c r="H102" t="s">
        <v>18</v>
      </c>
      <c r="I102" s="2">
        <v>23.8</v>
      </c>
      <c r="J102" s="4">
        <v>593</v>
      </c>
      <c r="K102" s="4">
        <v>59529</v>
      </c>
      <c r="L102" t="s">
        <v>43</v>
      </c>
      <c r="M102" s="4">
        <v>19</v>
      </c>
      <c r="N102" s="4">
        <v>19</v>
      </c>
      <c r="O102" s="6">
        <v>1</v>
      </c>
      <c r="P102">
        <v>10</v>
      </c>
      <c r="Q102">
        <v>9</v>
      </c>
      <c r="R102">
        <v>10</v>
      </c>
      <c r="S102">
        <v>9</v>
      </c>
      <c r="T102" s="2">
        <v>10</v>
      </c>
      <c r="U102" s="2">
        <v>9</v>
      </c>
    </row>
    <row r="103" spans="1:21" ht="12.75">
      <c r="A103">
        <v>46</v>
      </c>
      <c r="B103">
        <v>1</v>
      </c>
      <c r="C103" t="s">
        <v>128</v>
      </c>
      <c r="D103" t="s">
        <v>17</v>
      </c>
      <c r="E103" t="s">
        <v>17</v>
      </c>
      <c r="F103" t="s">
        <v>86</v>
      </c>
      <c r="G103" t="str">
        <f>HYPERLINK("http://www.ensembl.org/Cavia_porcellus/protview?peptide=ENSCPOP00000003507","P00000003507")</f>
        <v>P00000003507</v>
      </c>
      <c r="I103" s="2">
        <v>14.2</v>
      </c>
      <c r="J103" s="4">
        <v>696</v>
      </c>
      <c r="K103" s="4">
        <v>79554</v>
      </c>
      <c r="L103" t="s">
        <v>129</v>
      </c>
      <c r="M103" s="4">
        <v>19</v>
      </c>
      <c r="N103" s="4">
        <v>7</v>
      </c>
      <c r="O103" s="6">
        <v>0.368</v>
      </c>
      <c r="P103">
        <v>12</v>
      </c>
      <c r="Q103">
        <v>7</v>
      </c>
      <c r="R103">
        <v>5</v>
      </c>
      <c r="S103">
        <v>2</v>
      </c>
      <c r="T103" s="2">
        <v>6.167</v>
      </c>
      <c r="U103" s="2">
        <v>2.769</v>
      </c>
    </row>
    <row r="104" spans="1:21" ht="12.75">
      <c r="A104">
        <v>56</v>
      </c>
      <c r="B104">
        <v>1</v>
      </c>
      <c r="C104" t="s">
        <v>148</v>
      </c>
      <c r="D104" t="s">
        <v>17</v>
      </c>
      <c r="E104" t="s">
        <v>17</v>
      </c>
      <c r="F104" t="s">
        <v>17</v>
      </c>
      <c r="G104" t="str">
        <f>HYPERLINK("http://www.ensembl.org/Cavia_porcellus/protview?peptide=ENSCPOP00000004382","P00000004382")</f>
        <v>P00000004382</v>
      </c>
      <c r="I104" s="2">
        <v>26.1</v>
      </c>
      <c r="J104" s="4">
        <v>601</v>
      </c>
      <c r="K104" s="4">
        <v>65538</v>
      </c>
      <c r="L104" t="s">
        <v>149</v>
      </c>
      <c r="M104" s="4">
        <v>19</v>
      </c>
      <c r="N104" s="4">
        <v>19</v>
      </c>
      <c r="O104" s="6">
        <v>1</v>
      </c>
      <c r="P104">
        <v>9</v>
      </c>
      <c r="Q104">
        <v>10</v>
      </c>
      <c r="R104">
        <v>9</v>
      </c>
      <c r="S104">
        <v>10</v>
      </c>
      <c r="T104" s="2">
        <v>9</v>
      </c>
      <c r="U104" s="2">
        <v>10</v>
      </c>
    </row>
    <row r="105" spans="1:21" ht="12.75">
      <c r="A105">
        <v>155</v>
      </c>
      <c r="B105">
        <v>1</v>
      </c>
      <c r="C105" t="s">
        <v>369</v>
      </c>
      <c r="D105" t="s">
        <v>17</v>
      </c>
      <c r="E105" t="s">
        <v>17</v>
      </c>
      <c r="F105" t="s">
        <v>17</v>
      </c>
      <c r="G105" t="str">
        <f>HYPERLINK("http://www.ensembl.org/Cavia_porcellus/protview?peptide=ENSCPOP00000013280","P00000013280")</f>
        <v>P00000013280</v>
      </c>
      <c r="I105" s="2">
        <v>28</v>
      </c>
      <c r="J105" s="4">
        <v>432</v>
      </c>
      <c r="K105" s="4">
        <v>47436</v>
      </c>
      <c r="L105" t="s">
        <v>370</v>
      </c>
      <c r="M105" s="4">
        <v>19</v>
      </c>
      <c r="N105" s="4">
        <v>19</v>
      </c>
      <c r="O105" s="6">
        <v>1</v>
      </c>
      <c r="P105">
        <v>12</v>
      </c>
      <c r="Q105">
        <v>7</v>
      </c>
      <c r="R105">
        <v>12</v>
      </c>
      <c r="S105">
        <v>7</v>
      </c>
      <c r="T105" s="2">
        <v>12</v>
      </c>
      <c r="U105" s="2">
        <v>7</v>
      </c>
    </row>
    <row r="106" spans="1:21" ht="12.75">
      <c r="A106">
        <v>6</v>
      </c>
      <c r="B106">
        <v>1</v>
      </c>
      <c r="C106" t="s">
        <v>520</v>
      </c>
      <c r="D106" t="s">
        <v>521</v>
      </c>
      <c r="E106" t="s">
        <v>17</v>
      </c>
      <c r="F106" t="s">
        <v>32</v>
      </c>
      <c r="G106" t="s">
        <v>17</v>
      </c>
      <c r="H106" t="s">
        <v>18</v>
      </c>
      <c r="I106" s="2">
        <v>21.4</v>
      </c>
      <c r="J106" s="4">
        <v>645</v>
      </c>
      <c r="K106" s="4">
        <v>65912</v>
      </c>
      <c r="L106" t="s">
        <v>31</v>
      </c>
      <c r="M106" s="4">
        <v>18</v>
      </c>
      <c r="N106" s="4">
        <v>11</v>
      </c>
      <c r="O106" s="6">
        <v>0.611</v>
      </c>
      <c r="P106">
        <v>13</v>
      </c>
      <c r="Q106">
        <v>5</v>
      </c>
      <c r="R106">
        <v>9</v>
      </c>
      <c r="S106">
        <v>2</v>
      </c>
      <c r="T106" s="2">
        <v>9</v>
      </c>
      <c r="U106" s="2">
        <v>2</v>
      </c>
    </row>
    <row r="107" spans="1:21" ht="12.75">
      <c r="A107">
        <v>20</v>
      </c>
      <c r="B107">
        <v>1</v>
      </c>
      <c r="C107" t="s">
        <v>68</v>
      </c>
      <c r="D107" t="s">
        <v>17</v>
      </c>
      <c r="E107" t="s">
        <v>17</v>
      </c>
      <c r="F107" t="s">
        <v>17</v>
      </c>
      <c r="G107" t="str">
        <f>HYPERLINK("http://www.ensembl.org/Cavia_porcellus/protview?peptide=ENSCPOP00000001144","P00000001144")</f>
        <v>P00000001144</v>
      </c>
      <c r="I107" s="2">
        <v>46.5</v>
      </c>
      <c r="J107" s="4">
        <v>187</v>
      </c>
      <c r="K107" s="4">
        <v>20664</v>
      </c>
      <c r="L107" t="s">
        <v>69</v>
      </c>
      <c r="M107" s="4">
        <v>18</v>
      </c>
      <c r="N107" s="4">
        <v>18</v>
      </c>
      <c r="O107" s="6">
        <v>1</v>
      </c>
      <c r="P107">
        <v>11</v>
      </c>
      <c r="Q107">
        <v>7</v>
      </c>
      <c r="R107">
        <v>11</v>
      </c>
      <c r="S107">
        <v>7</v>
      </c>
      <c r="T107" s="2">
        <v>11</v>
      </c>
      <c r="U107" s="2">
        <v>7</v>
      </c>
    </row>
    <row r="108" spans="1:21" ht="12.75">
      <c r="A108">
        <v>26</v>
      </c>
      <c r="B108">
        <v>1</v>
      </c>
      <c r="C108" t="s">
        <v>80</v>
      </c>
      <c r="D108" t="s">
        <v>17</v>
      </c>
      <c r="E108" t="s">
        <v>17</v>
      </c>
      <c r="F108" t="s">
        <v>17</v>
      </c>
      <c r="G108" t="str">
        <f>HYPERLINK("http://www.ensembl.org/Cavia_porcellus/protview?peptide=ENSCPOP00000001717","P00000001717")</f>
        <v>P00000001717</v>
      </c>
      <c r="I108" s="2">
        <v>27.2</v>
      </c>
      <c r="J108" s="4">
        <v>327</v>
      </c>
      <c r="K108" s="4">
        <v>36301</v>
      </c>
      <c r="L108" t="s">
        <v>81</v>
      </c>
      <c r="M108" s="4">
        <v>18</v>
      </c>
      <c r="N108" s="4">
        <v>18</v>
      </c>
      <c r="O108" s="6">
        <v>1</v>
      </c>
      <c r="P108">
        <v>10</v>
      </c>
      <c r="Q108">
        <v>8</v>
      </c>
      <c r="R108">
        <v>10</v>
      </c>
      <c r="S108">
        <v>8</v>
      </c>
      <c r="T108" s="2">
        <v>10</v>
      </c>
      <c r="U108" s="2">
        <v>8</v>
      </c>
    </row>
    <row r="109" spans="1:21" ht="12.75">
      <c r="A109">
        <v>52</v>
      </c>
      <c r="B109">
        <v>1</v>
      </c>
      <c r="C109" t="s">
        <v>140</v>
      </c>
      <c r="D109" t="s">
        <v>17</v>
      </c>
      <c r="E109" t="s">
        <v>17</v>
      </c>
      <c r="F109" t="s">
        <v>124</v>
      </c>
      <c r="G109" t="str">
        <f>HYPERLINK("http://www.ensembl.org/Cavia_porcellus/protview?peptide=ENSCPOP00000003884","P00000003884")</f>
        <v>P00000003884</v>
      </c>
      <c r="I109" s="2">
        <v>14.4</v>
      </c>
      <c r="J109" s="4">
        <v>582</v>
      </c>
      <c r="K109" s="4">
        <v>68763</v>
      </c>
      <c r="L109" t="s">
        <v>141</v>
      </c>
      <c r="M109" s="4">
        <v>18</v>
      </c>
      <c r="N109" s="4">
        <v>13</v>
      </c>
      <c r="O109" s="6">
        <v>0.722</v>
      </c>
      <c r="P109">
        <v>9</v>
      </c>
      <c r="Q109">
        <v>9</v>
      </c>
      <c r="R109">
        <v>7</v>
      </c>
      <c r="S109">
        <v>6</v>
      </c>
      <c r="T109" s="2">
        <v>8.75</v>
      </c>
      <c r="U109" s="2">
        <v>8.714</v>
      </c>
    </row>
    <row r="110" spans="1:21" ht="12.75">
      <c r="A110">
        <v>77</v>
      </c>
      <c r="B110">
        <v>1</v>
      </c>
      <c r="C110" t="s">
        <v>193</v>
      </c>
      <c r="D110" t="s">
        <v>17</v>
      </c>
      <c r="E110" t="s">
        <v>17</v>
      </c>
      <c r="F110" t="s">
        <v>195</v>
      </c>
      <c r="G110" t="str">
        <f>HYPERLINK("http://www.ensembl.org/Cavia_porcellus/protview?peptide=ENSCPOP00000006005","P00000006005")</f>
        <v>P00000006005</v>
      </c>
      <c r="I110" s="2">
        <v>31.2</v>
      </c>
      <c r="J110" s="4">
        <v>253</v>
      </c>
      <c r="K110" s="4">
        <v>28751</v>
      </c>
      <c r="L110" t="s">
        <v>194</v>
      </c>
      <c r="M110" s="4">
        <v>18</v>
      </c>
      <c r="N110" s="4">
        <v>14</v>
      </c>
      <c r="O110" s="6">
        <v>0.778</v>
      </c>
      <c r="P110">
        <v>13</v>
      </c>
      <c r="Q110">
        <v>5</v>
      </c>
      <c r="R110">
        <v>9</v>
      </c>
      <c r="S110">
        <v>5</v>
      </c>
      <c r="T110" s="2">
        <v>11.571</v>
      </c>
      <c r="U110" s="2">
        <v>5</v>
      </c>
    </row>
    <row r="111" spans="1:21" ht="12.75">
      <c r="A111">
        <v>115</v>
      </c>
      <c r="B111">
        <v>1</v>
      </c>
      <c r="C111" t="s">
        <v>279</v>
      </c>
      <c r="D111" t="s">
        <v>17</v>
      </c>
      <c r="E111" t="s">
        <v>17</v>
      </c>
      <c r="F111" t="s">
        <v>17</v>
      </c>
      <c r="G111" t="str">
        <f>HYPERLINK("http://www.ensembl.org/Cavia_porcellus/protview?peptide=ENSCPOP00000009972","P00000009972")</f>
        <v>P00000009972</v>
      </c>
      <c r="I111" s="2">
        <v>42.3</v>
      </c>
      <c r="J111" s="4">
        <v>227</v>
      </c>
      <c r="K111" s="4">
        <v>25235</v>
      </c>
      <c r="L111" t="s">
        <v>280</v>
      </c>
      <c r="M111" s="4">
        <v>18</v>
      </c>
      <c r="N111" s="4">
        <v>18</v>
      </c>
      <c r="O111" s="6">
        <v>1</v>
      </c>
      <c r="P111">
        <v>15</v>
      </c>
      <c r="Q111">
        <v>3</v>
      </c>
      <c r="R111">
        <v>15</v>
      </c>
      <c r="S111">
        <v>3</v>
      </c>
      <c r="T111" s="2">
        <v>15</v>
      </c>
      <c r="U111" s="2">
        <v>3</v>
      </c>
    </row>
    <row r="112" spans="1:21" ht="12.75">
      <c r="A112">
        <v>203</v>
      </c>
      <c r="B112">
        <v>1</v>
      </c>
      <c r="C112" t="s">
        <v>479</v>
      </c>
      <c r="D112" t="s">
        <v>17</v>
      </c>
      <c r="E112" t="s">
        <v>17</v>
      </c>
      <c r="F112" t="s">
        <v>17</v>
      </c>
      <c r="G112" t="s">
        <v>17</v>
      </c>
      <c r="H112" t="s">
        <v>477</v>
      </c>
      <c r="I112" s="2">
        <v>8.3</v>
      </c>
      <c r="J112" s="4">
        <v>541</v>
      </c>
      <c r="K112" s="4">
        <v>59616</v>
      </c>
      <c r="L112" t="s">
        <v>478</v>
      </c>
      <c r="M112" s="4">
        <v>18</v>
      </c>
      <c r="N112" s="4">
        <v>18</v>
      </c>
      <c r="O112" s="6">
        <v>1</v>
      </c>
      <c r="P112">
        <v>11</v>
      </c>
      <c r="Q112">
        <v>7</v>
      </c>
      <c r="R112">
        <v>11</v>
      </c>
      <c r="S112">
        <v>7</v>
      </c>
      <c r="T112" s="2">
        <v>11</v>
      </c>
      <c r="U112" s="2">
        <v>7</v>
      </c>
    </row>
    <row r="113" spans="1:21" ht="12.75">
      <c r="A113">
        <v>76</v>
      </c>
      <c r="B113">
        <v>1</v>
      </c>
      <c r="C113" t="s">
        <v>191</v>
      </c>
      <c r="D113" t="s">
        <v>17</v>
      </c>
      <c r="E113" t="s">
        <v>17</v>
      </c>
      <c r="F113" t="s">
        <v>17</v>
      </c>
      <c r="G113" t="str">
        <f>HYPERLINK("http://www.ensembl.org/Cavia_porcellus/protview?peptide=ENSCPOP00000005913","P00000005913")</f>
        <v>P00000005913</v>
      </c>
      <c r="I113" s="2">
        <v>15.9</v>
      </c>
      <c r="J113" s="4">
        <v>876</v>
      </c>
      <c r="K113" s="4">
        <v>97157</v>
      </c>
      <c r="L113" t="s">
        <v>192</v>
      </c>
      <c r="M113" s="4">
        <v>17</v>
      </c>
      <c r="N113" s="4">
        <v>17</v>
      </c>
      <c r="O113" s="6">
        <v>1</v>
      </c>
      <c r="P113">
        <v>12</v>
      </c>
      <c r="Q113">
        <v>5</v>
      </c>
      <c r="R113">
        <v>12</v>
      </c>
      <c r="S113">
        <v>5</v>
      </c>
      <c r="T113" s="2">
        <v>12</v>
      </c>
      <c r="U113" s="2">
        <v>5</v>
      </c>
    </row>
    <row r="114" spans="1:21" ht="12.75">
      <c r="A114">
        <v>125</v>
      </c>
      <c r="B114">
        <v>1</v>
      </c>
      <c r="C114" t="s">
        <v>302</v>
      </c>
      <c r="D114" t="s">
        <v>17</v>
      </c>
      <c r="E114" t="s">
        <v>17</v>
      </c>
      <c r="F114" t="s">
        <v>94</v>
      </c>
      <c r="G114" t="str">
        <f>HYPERLINK("http://www.ensembl.org/Cavia_porcellus/protview?peptide=ENSCPOP00000010866","P00000010866")</f>
        <v>P00000010866</v>
      </c>
      <c r="I114" s="2">
        <v>28.6</v>
      </c>
      <c r="J114" s="4">
        <v>444</v>
      </c>
      <c r="K114" s="4">
        <v>49672</v>
      </c>
      <c r="L114" t="s">
        <v>303</v>
      </c>
      <c r="M114" s="4">
        <v>17</v>
      </c>
      <c r="N114" s="4">
        <v>2</v>
      </c>
      <c r="O114" s="6">
        <v>0.118</v>
      </c>
      <c r="P114">
        <v>9</v>
      </c>
      <c r="Q114">
        <v>8</v>
      </c>
      <c r="R114">
        <v>2</v>
      </c>
      <c r="S114">
        <v>0</v>
      </c>
      <c r="T114" s="2">
        <v>8</v>
      </c>
      <c r="U114" s="2">
        <v>0</v>
      </c>
    </row>
    <row r="115" spans="1:21" ht="12.75">
      <c r="A115">
        <v>174</v>
      </c>
      <c r="B115">
        <v>1</v>
      </c>
      <c r="C115" t="s">
        <v>413</v>
      </c>
      <c r="D115" t="s">
        <v>17</v>
      </c>
      <c r="E115" t="s">
        <v>17</v>
      </c>
      <c r="F115" t="s">
        <v>17</v>
      </c>
      <c r="G115" t="str">
        <f>HYPERLINK("http://www.ensembl.org/Cavia_porcellus/protview?peptide=ENSCPOP00000016787","P00000016787")</f>
        <v>P00000016787</v>
      </c>
      <c r="I115" s="2">
        <v>59.4</v>
      </c>
      <c r="J115" s="4">
        <v>187</v>
      </c>
      <c r="K115" s="4">
        <v>20947</v>
      </c>
      <c r="L115" t="s">
        <v>414</v>
      </c>
      <c r="M115" s="4">
        <v>17</v>
      </c>
      <c r="N115" s="4">
        <v>17</v>
      </c>
      <c r="O115" s="6">
        <v>1</v>
      </c>
      <c r="P115">
        <v>4</v>
      </c>
      <c r="Q115">
        <v>13</v>
      </c>
      <c r="R115">
        <v>4</v>
      </c>
      <c r="S115">
        <v>13</v>
      </c>
      <c r="T115" s="2">
        <v>4</v>
      </c>
      <c r="U115" s="2">
        <v>13</v>
      </c>
    </row>
    <row r="116" spans="1:21" ht="12.75">
      <c r="A116">
        <v>177</v>
      </c>
      <c r="B116">
        <v>1</v>
      </c>
      <c r="C116" t="s">
        <v>420</v>
      </c>
      <c r="D116" t="s">
        <v>17</v>
      </c>
      <c r="E116" t="s">
        <v>17</v>
      </c>
      <c r="F116" t="s">
        <v>17</v>
      </c>
      <c r="G116" t="str">
        <f>HYPERLINK("http://www.ensembl.org/Cavia_porcellus/protview?peptide=ENSCPOP00000017361","P00000017361")</f>
        <v>P00000017361</v>
      </c>
      <c r="I116" s="2">
        <v>24.6</v>
      </c>
      <c r="J116" s="4">
        <v>199</v>
      </c>
      <c r="K116" s="4">
        <v>21950</v>
      </c>
      <c r="L116" t="s">
        <v>421</v>
      </c>
      <c r="M116" s="4">
        <v>17</v>
      </c>
      <c r="N116" s="4">
        <v>17</v>
      </c>
      <c r="O116" s="6">
        <v>1</v>
      </c>
      <c r="P116">
        <v>9</v>
      </c>
      <c r="Q116">
        <v>8</v>
      </c>
      <c r="R116">
        <v>9</v>
      </c>
      <c r="S116">
        <v>8</v>
      </c>
      <c r="T116" s="2">
        <v>9</v>
      </c>
      <c r="U116" s="2">
        <v>8</v>
      </c>
    </row>
    <row r="117" spans="1:21" ht="12.75">
      <c r="A117">
        <v>34</v>
      </c>
      <c r="B117">
        <v>1</v>
      </c>
      <c r="C117" t="s">
        <v>99</v>
      </c>
      <c r="D117" t="s">
        <v>17</v>
      </c>
      <c r="E117" t="s">
        <v>17</v>
      </c>
      <c r="F117" t="s">
        <v>17</v>
      </c>
      <c r="G117" t="str">
        <f>HYPERLINK("http://www.ensembl.org/Cavia_porcellus/protview?peptide=ENSCPOP00000002392","P00000002392")</f>
        <v>P00000002392</v>
      </c>
      <c r="I117" s="2">
        <v>52.7</v>
      </c>
      <c r="J117" s="4">
        <v>165</v>
      </c>
      <c r="K117" s="4">
        <v>17947</v>
      </c>
      <c r="L117" t="s">
        <v>100</v>
      </c>
      <c r="M117" s="4">
        <v>16</v>
      </c>
      <c r="N117" s="4">
        <v>16</v>
      </c>
      <c r="O117" s="6">
        <v>1</v>
      </c>
      <c r="P117">
        <v>7</v>
      </c>
      <c r="Q117">
        <v>9</v>
      </c>
      <c r="R117">
        <v>7</v>
      </c>
      <c r="S117">
        <v>9</v>
      </c>
      <c r="T117" s="2">
        <v>7</v>
      </c>
      <c r="U117" s="2">
        <v>9</v>
      </c>
    </row>
    <row r="118" spans="1:21" ht="12.75">
      <c r="A118">
        <v>78</v>
      </c>
      <c r="B118">
        <v>1</v>
      </c>
      <c r="C118" t="s">
        <v>196</v>
      </c>
      <c r="D118" t="s">
        <v>17</v>
      </c>
      <c r="E118" t="s">
        <v>17</v>
      </c>
      <c r="F118" t="s">
        <v>195</v>
      </c>
      <c r="G118" t="str">
        <f>HYPERLINK("http://www.ensembl.org/Cavia_porcellus/protview?peptide=ENSCPOP00000006169","P00000006169")</f>
        <v>P00000006169</v>
      </c>
      <c r="I118" s="2">
        <v>35.4</v>
      </c>
      <c r="J118" s="4">
        <v>254</v>
      </c>
      <c r="K118" s="4">
        <v>28791</v>
      </c>
      <c r="L118" t="s">
        <v>197</v>
      </c>
      <c r="M118" s="4">
        <v>16</v>
      </c>
      <c r="N118" s="4">
        <v>12</v>
      </c>
      <c r="O118" s="6">
        <v>0.75</v>
      </c>
      <c r="P118">
        <v>9</v>
      </c>
      <c r="Q118">
        <v>7</v>
      </c>
      <c r="R118">
        <v>5</v>
      </c>
      <c r="S118">
        <v>7</v>
      </c>
      <c r="T118" s="2">
        <v>6.429</v>
      </c>
      <c r="U118" s="2">
        <v>7</v>
      </c>
    </row>
    <row r="119" spans="1:21" ht="12.75">
      <c r="A119">
        <v>124</v>
      </c>
      <c r="B119">
        <v>1</v>
      </c>
      <c r="C119" t="s">
        <v>528</v>
      </c>
      <c r="D119" t="s">
        <v>529</v>
      </c>
      <c r="E119" t="s">
        <v>17</v>
      </c>
      <c r="F119" t="s">
        <v>94</v>
      </c>
      <c r="G119" t="str">
        <f>HYPERLINK("http://www.ensembl.org/Cavia_porcellus/protview?peptide=ENSCPOP00000010765","P00000010765")</f>
        <v>P00000010765</v>
      </c>
      <c r="I119" s="2">
        <v>28.5</v>
      </c>
      <c r="J119" s="4">
        <v>445</v>
      </c>
      <c r="K119" s="4">
        <v>49832</v>
      </c>
      <c r="L119" t="s">
        <v>299</v>
      </c>
      <c r="M119" s="4">
        <v>16</v>
      </c>
      <c r="N119" s="4">
        <v>1</v>
      </c>
      <c r="O119" s="6">
        <v>0.062</v>
      </c>
      <c r="P119">
        <v>7</v>
      </c>
      <c r="Q119">
        <v>9</v>
      </c>
      <c r="R119">
        <v>0</v>
      </c>
      <c r="S119">
        <v>1</v>
      </c>
      <c r="T119" s="2">
        <v>0</v>
      </c>
      <c r="U119" s="2">
        <v>7.5</v>
      </c>
    </row>
    <row r="120" spans="1:21" ht="12.75">
      <c r="A120">
        <v>156</v>
      </c>
      <c r="B120">
        <v>1</v>
      </c>
      <c r="C120" t="s">
        <v>371</v>
      </c>
      <c r="D120" t="s">
        <v>17</v>
      </c>
      <c r="E120" t="s">
        <v>17</v>
      </c>
      <c r="F120" t="s">
        <v>17</v>
      </c>
      <c r="G120" t="str">
        <f>HYPERLINK("http://www.ensembl.org/Cavia_porcellus/protview?peptide=ENSCPOP00000013515","P00000013515")</f>
        <v>P00000013515</v>
      </c>
      <c r="I120" s="2">
        <v>3.3</v>
      </c>
      <c r="J120" s="4">
        <v>4503</v>
      </c>
      <c r="K120" s="4">
        <v>511715</v>
      </c>
      <c r="L120" t="s">
        <v>372</v>
      </c>
      <c r="M120" s="4">
        <v>16</v>
      </c>
      <c r="N120" s="4">
        <v>16</v>
      </c>
      <c r="O120" s="6">
        <v>1</v>
      </c>
      <c r="P120">
        <v>9</v>
      </c>
      <c r="Q120">
        <v>7</v>
      </c>
      <c r="R120">
        <v>9</v>
      </c>
      <c r="S120">
        <v>7</v>
      </c>
      <c r="T120" s="2">
        <v>9</v>
      </c>
      <c r="U120" s="2">
        <v>7</v>
      </c>
    </row>
    <row r="121" spans="1:21" ht="12.75">
      <c r="A121">
        <v>163</v>
      </c>
      <c r="B121">
        <v>1</v>
      </c>
      <c r="C121" t="s">
        <v>386</v>
      </c>
      <c r="D121" t="s">
        <v>17</v>
      </c>
      <c r="E121" t="s">
        <v>17</v>
      </c>
      <c r="F121" t="s">
        <v>17</v>
      </c>
      <c r="G121" t="str">
        <f>HYPERLINK("http://www.ensembl.org/Cavia_porcellus/protview?peptide=ENSCPOP00000014729","P00000014729")</f>
        <v>P00000014729</v>
      </c>
      <c r="I121" s="2">
        <v>23.2</v>
      </c>
      <c r="J121" s="4">
        <v>452</v>
      </c>
      <c r="K121" s="4">
        <v>50091</v>
      </c>
      <c r="L121" t="s">
        <v>387</v>
      </c>
      <c r="M121" s="4">
        <v>16</v>
      </c>
      <c r="N121" s="4">
        <v>16</v>
      </c>
      <c r="O121" s="6">
        <v>1</v>
      </c>
      <c r="P121">
        <v>9</v>
      </c>
      <c r="Q121">
        <v>7</v>
      </c>
      <c r="R121">
        <v>9</v>
      </c>
      <c r="S121">
        <v>7</v>
      </c>
      <c r="T121" s="2">
        <v>9</v>
      </c>
      <c r="U121" s="2">
        <v>7</v>
      </c>
    </row>
    <row r="122" spans="1:21" ht="12.75">
      <c r="A122">
        <v>211</v>
      </c>
      <c r="B122">
        <v>1</v>
      </c>
      <c r="C122" t="s">
        <v>487</v>
      </c>
      <c r="D122" t="s">
        <v>17</v>
      </c>
      <c r="E122" t="s">
        <v>17</v>
      </c>
      <c r="F122" t="s">
        <v>17</v>
      </c>
      <c r="G122" t="s">
        <v>17</v>
      </c>
      <c r="H122" t="s">
        <v>477</v>
      </c>
      <c r="I122" s="2">
        <v>3.5</v>
      </c>
      <c r="J122" s="4">
        <v>4636</v>
      </c>
      <c r="K122" s="4">
        <v>528930</v>
      </c>
      <c r="L122" t="s">
        <v>478</v>
      </c>
      <c r="M122" s="4">
        <v>16</v>
      </c>
      <c r="N122" s="4">
        <v>16</v>
      </c>
      <c r="O122" s="6">
        <v>1</v>
      </c>
      <c r="P122">
        <v>8</v>
      </c>
      <c r="Q122">
        <v>8</v>
      </c>
      <c r="R122">
        <v>8</v>
      </c>
      <c r="S122">
        <v>8</v>
      </c>
      <c r="T122" s="2">
        <v>8</v>
      </c>
      <c r="U122" s="2">
        <v>8</v>
      </c>
    </row>
    <row r="123" spans="1:21" ht="12.75">
      <c r="A123">
        <v>25</v>
      </c>
      <c r="B123">
        <v>1</v>
      </c>
      <c r="C123" t="s">
        <v>78</v>
      </c>
      <c r="D123" t="s">
        <v>17</v>
      </c>
      <c r="E123" t="s">
        <v>17</v>
      </c>
      <c r="F123" t="s">
        <v>17</v>
      </c>
      <c r="G123" t="str">
        <f>HYPERLINK("http://www.ensembl.org/Cavia_porcellus/protview?peptide=ENSCPOP00000001659","P00000001659")</f>
        <v>P00000001659</v>
      </c>
      <c r="I123" s="2">
        <v>34.8</v>
      </c>
      <c r="J123" s="4">
        <v>204</v>
      </c>
      <c r="K123" s="4">
        <v>23412</v>
      </c>
      <c r="L123" t="s">
        <v>79</v>
      </c>
      <c r="M123" s="4">
        <v>15</v>
      </c>
      <c r="N123" s="4">
        <v>15</v>
      </c>
      <c r="O123" s="6">
        <v>1</v>
      </c>
      <c r="P123">
        <v>5</v>
      </c>
      <c r="Q123">
        <v>10</v>
      </c>
      <c r="R123">
        <v>5</v>
      </c>
      <c r="S123">
        <v>10</v>
      </c>
      <c r="T123" s="2">
        <v>5</v>
      </c>
      <c r="U123" s="2">
        <v>10</v>
      </c>
    </row>
    <row r="124" spans="1:21" ht="12.75">
      <c r="A124">
        <v>54</v>
      </c>
      <c r="B124">
        <v>1</v>
      </c>
      <c r="C124" t="s">
        <v>144</v>
      </c>
      <c r="D124" t="s">
        <v>17</v>
      </c>
      <c r="E124" t="s">
        <v>17</v>
      </c>
      <c r="F124" t="s">
        <v>17</v>
      </c>
      <c r="G124" t="str">
        <f>HYPERLINK("http://www.ensembl.org/Cavia_porcellus/protview?peptide=ENSCPOP00000004190","P00000004190")</f>
        <v>P00000004190</v>
      </c>
      <c r="I124" s="2">
        <v>55.1</v>
      </c>
      <c r="J124" s="4">
        <v>118</v>
      </c>
      <c r="K124" s="4">
        <v>12761</v>
      </c>
      <c r="L124" t="s">
        <v>145</v>
      </c>
      <c r="M124" s="4">
        <v>15</v>
      </c>
      <c r="N124" s="4">
        <v>15</v>
      </c>
      <c r="O124" s="6">
        <v>1</v>
      </c>
      <c r="P124">
        <v>6</v>
      </c>
      <c r="Q124">
        <v>9</v>
      </c>
      <c r="R124">
        <v>6</v>
      </c>
      <c r="S124">
        <v>9</v>
      </c>
      <c r="T124" s="2">
        <v>6</v>
      </c>
      <c r="U124" s="2">
        <v>9</v>
      </c>
    </row>
    <row r="125" spans="1:21" ht="12.75">
      <c r="A125">
        <v>80</v>
      </c>
      <c r="B125">
        <v>1</v>
      </c>
      <c r="C125" t="s">
        <v>200</v>
      </c>
      <c r="D125" t="s">
        <v>17</v>
      </c>
      <c r="E125" t="s">
        <v>17</v>
      </c>
      <c r="F125" t="s">
        <v>17</v>
      </c>
      <c r="G125" t="str">
        <f>HYPERLINK("http://www.ensembl.org/Cavia_porcellus/protview?peptide=ENSCPOP00000006182","P00000006182")</f>
        <v>P00000006182</v>
      </c>
      <c r="I125" s="2">
        <v>7.2</v>
      </c>
      <c r="J125" s="4">
        <v>1499</v>
      </c>
      <c r="K125" s="4">
        <v>145666</v>
      </c>
      <c r="L125" t="s">
        <v>201</v>
      </c>
      <c r="M125" s="4">
        <v>15</v>
      </c>
      <c r="N125" s="4">
        <v>15</v>
      </c>
      <c r="O125" s="6">
        <v>1</v>
      </c>
      <c r="P125">
        <v>10</v>
      </c>
      <c r="Q125">
        <v>5</v>
      </c>
      <c r="R125">
        <v>10</v>
      </c>
      <c r="S125">
        <v>5</v>
      </c>
      <c r="T125" s="2">
        <v>10</v>
      </c>
      <c r="U125" s="2">
        <v>5</v>
      </c>
    </row>
    <row r="126" spans="1:21" ht="12.75">
      <c r="A126">
        <v>121</v>
      </c>
      <c r="B126">
        <v>1</v>
      </c>
      <c r="C126" t="s">
        <v>292</v>
      </c>
      <c r="D126" t="s">
        <v>17</v>
      </c>
      <c r="E126" t="s">
        <v>17</v>
      </c>
      <c r="F126" t="s">
        <v>17</v>
      </c>
      <c r="G126" t="str">
        <f>HYPERLINK("http://www.ensembl.org/Cavia_porcellus/protview?peptide=ENSCPOP00000010442","P00000010442")</f>
        <v>P00000010442</v>
      </c>
      <c r="I126" s="2">
        <v>55.9</v>
      </c>
      <c r="J126" s="4">
        <v>227</v>
      </c>
      <c r="K126" s="4">
        <v>24645</v>
      </c>
      <c r="L126" t="s">
        <v>293</v>
      </c>
      <c r="M126" s="4">
        <v>15</v>
      </c>
      <c r="N126" s="4">
        <v>15</v>
      </c>
      <c r="O126" s="6">
        <v>1</v>
      </c>
      <c r="P126">
        <v>9</v>
      </c>
      <c r="Q126">
        <v>6</v>
      </c>
      <c r="R126">
        <v>9</v>
      </c>
      <c r="S126">
        <v>6</v>
      </c>
      <c r="T126" s="2">
        <v>9</v>
      </c>
      <c r="U126" s="2">
        <v>6</v>
      </c>
    </row>
    <row r="127" spans="1:21" ht="12.75">
      <c r="A127">
        <v>171</v>
      </c>
      <c r="B127">
        <v>1</v>
      </c>
      <c r="C127" t="s">
        <v>407</v>
      </c>
      <c r="D127" t="s">
        <v>17</v>
      </c>
      <c r="E127" t="s">
        <v>17</v>
      </c>
      <c r="F127" t="s">
        <v>17</v>
      </c>
      <c r="G127" t="str">
        <f>HYPERLINK("http://www.ensembl.org/Cavia_porcellus/protview?peptide=ENSCPOP00000015956","P00000015956")</f>
        <v>P00000015956</v>
      </c>
      <c r="I127" s="2">
        <v>33</v>
      </c>
      <c r="J127" s="4">
        <v>303</v>
      </c>
      <c r="K127" s="4">
        <v>32985</v>
      </c>
      <c r="L127" t="s">
        <v>408</v>
      </c>
      <c r="M127" s="4">
        <v>15</v>
      </c>
      <c r="N127" s="4">
        <v>15</v>
      </c>
      <c r="O127" s="6">
        <v>1</v>
      </c>
      <c r="P127">
        <v>10</v>
      </c>
      <c r="Q127">
        <v>5</v>
      </c>
      <c r="R127">
        <v>10</v>
      </c>
      <c r="S127">
        <v>5</v>
      </c>
      <c r="T127" s="2">
        <v>10</v>
      </c>
      <c r="U127" s="2">
        <v>5</v>
      </c>
    </row>
    <row r="128" spans="1:21" ht="12.75">
      <c r="A128">
        <v>215</v>
      </c>
      <c r="B128">
        <v>1</v>
      </c>
      <c r="C128" t="s">
        <v>491</v>
      </c>
      <c r="D128" t="s">
        <v>17</v>
      </c>
      <c r="E128" t="s">
        <v>17</v>
      </c>
      <c r="F128" t="s">
        <v>17</v>
      </c>
      <c r="G128" t="s">
        <v>17</v>
      </c>
      <c r="H128" t="s">
        <v>477</v>
      </c>
      <c r="I128" s="2">
        <v>5.9</v>
      </c>
      <c r="J128" s="4">
        <v>1146</v>
      </c>
      <c r="K128" s="4">
        <v>132088</v>
      </c>
      <c r="L128" t="s">
        <v>478</v>
      </c>
      <c r="M128" s="4">
        <v>15</v>
      </c>
      <c r="N128" s="4">
        <v>15</v>
      </c>
      <c r="O128" s="6">
        <v>1</v>
      </c>
      <c r="P128">
        <v>8</v>
      </c>
      <c r="Q128">
        <v>7</v>
      </c>
      <c r="R128">
        <v>8</v>
      </c>
      <c r="S128">
        <v>7</v>
      </c>
      <c r="T128" s="2">
        <v>8</v>
      </c>
      <c r="U128" s="2">
        <v>7</v>
      </c>
    </row>
    <row r="129" spans="1:21" ht="12.75">
      <c r="A129">
        <v>69</v>
      </c>
      <c r="B129">
        <v>1</v>
      </c>
      <c r="C129" t="s">
        <v>176</v>
      </c>
      <c r="D129" t="s">
        <v>17</v>
      </c>
      <c r="E129" t="s">
        <v>17</v>
      </c>
      <c r="F129" t="s">
        <v>17</v>
      </c>
      <c r="G129" t="str">
        <f>HYPERLINK("http://www.ensembl.org/Cavia_porcellus/protview?peptide=ENSCPOP00000005598","P00000005598")</f>
        <v>P00000005598</v>
      </c>
      <c r="I129" s="2">
        <v>5</v>
      </c>
      <c r="J129" s="4">
        <v>2465</v>
      </c>
      <c r="K129" s="4">
        <v>270451</v>
      </c>
      <c r="L129" t="s">
        <v>177</v>
      </c>
      <c r="M129" s="4">
        <v>14</v>
      </c>
      <c r="N129" s="4">
        <v>14</v>
      </c>
      <c r="O129" s="6">
        <v>1</v>
      </c>
      <c r="P129">
        <v>3</v>
      </c>
      <c r="Q129">
        <v>11</v>
      </c>
      <c r="R129">
        <v>3</v>
      </c>
      <c r="S129">
        <v>11</v>
      </c>
      <c r="T129" s="2">
        <v>3</v>
      </c>
      <c r="U129" s="2">
        <v>11</v>
      </c>
    </row>
    <row r="130" spans="1:21" ht="12.75">
      <c r="A130">
        <v>74</v>
      </c>
      <c r="B130">
        <v>1</v>
      </c>
      <c r="C130" t="s">
        <v>187</v>
      </c>
      <c r="D130" t="s">
        <v>17</v>
      </c>
      <c r="E130" t="s">
        <v>17</v>
      </c>
      <c r="F130" t="s">
        <v>17</v>
      </c>
      <c r="G130" t="str">
        <f>HYPERLINK("http://www.ensembl.org/Cavia_porcellus/protview?peptide=ENSCPOP00000005886","P00000005886")</f>
        <v>P00000005886</v>
      </c>
      <c r="I130" s="2">
        <v>25.6</v>
      </c>
      <c r="J130" s="4">
        <v>344</v>
      </c>
      <c r="K130" s="4">
        <v>38038</v>
      </c>
      <c r="L130" t="s">
        <v>188</v>
      </c>
      <c r="M130" s="4">
        <v>14</v>
      </c>
      <c r="N130" s="4">
        <v>14</v>
      </c>
      <c r="O130" s="6">
        <v>1</v>
      </c>
      <c r="P130">
        <v>7</v>
      </c>
      <c r="Q130">
        <v>7</v>
      </c>
      <c r="R130">
        <v>7</v>
      </c>
      <c r="S130">
        <v>7</v>
      </c>
      <c r="T130" s="2">
        <v>7</v>
      </c>
      <c r="U130" s="2">
        <v>7</v>
      </c>
    </row>
    <row r="131" spans="1:21" ht="12.75">
      <c r="A131">
        <v>93</v>
      </c>
      <c r="B131">
        <v>1</v>
      </c>
      <c r="C131" t="s">
        <v>230</v>
      </c>
      <c r="D131" t="s">
        <v>17</v>
      </c>
      <c r="E131" t="s">
        <v>17</v>
      </c>
      <c r="F131" t="s">
        <v>17</v>
      </c>
      <c r="G131" t="str">
        <f>HYPERLINK("http://www.ensembl.org/Cavia_porcellus/protview?peptide=ENSCPOP00000007606","P00000007606")</f>
        <v>P00000007606</v>
      </c>
      <c r="I131" s="2">
        <v>20.5</v>
      </c>
      <c r="J131" s="4">
        <v>508</v>
      </c>
      <c r="K131" s="4">
        <v>56979</v>
      </c>
      <c r="L131" t="s">
        <v>231</v>
      </c>
      <c r="M131" s="4">
        <v>14</v>
      </c>
      <c r="N131" s="4">
        <v>14</v>
      </c>
      <c r="O131" s="6">
        <v>1</v>
      </c>
      <c r="P131">
        <v>10</v>
      </c>
      <c r="Q131">
        <v>4</v>
      </c>
      <c r="R131">
        <v>10</v>
      </c>
      <c r="S131">
        <v>4</v>
      </c>
      <c r="T131" s="2">
        <v>10</v>
      </c>
      <c r="U131" s="2">
        <v>4</v>
      </c>
    </row>
    <row r="132" spans="1:21" ht="12.75">
      <c r="A132">
        <v>144</v>
      </c>
      <c r="B132">
        <v>1</v>
      </c>
      <c r="C132" t="s">
        <v>345</v>
      </c>
      <c r="D132" t="s">
        <v>17</v>
      </c>
      <c r="E132" t="s">
        <v>17</v>
      </c>
      <c r="F132" t="s">
        <v>17</v>
      </c>
      <c r="G132" t="str">
        <f>HYPERLINK("http://www.ensembl.org/Cavia_porcellus/protview?peptide=ENSCPOP00000012309","P00000012309")</f>
        <v>P00000012309</v>
      </c>
      <c r="I132" s="2">
        <v>27.4</v>
      </c>
      <c r="J132" s="4">
        <v>241</v>
      </c>
      <c r="K132" s="4">
        <v>26412</v>
      </c>
      <c r="L132" t="s">
        <v>346</v>
      </c>
      <c r="M132" s="4">
        <v>14</v>
      </c>
      <c r="N132" s="4">
        <v>14</v>
      </c>
      <c r="O132" s="6">
        <v>1</v>
      </c>
      <c r="P132">
        <v>8</v>
      </c>
      <c r="Q132">
        <v>6</v>
      </c>
      <c r="R132">
        <v>8</v>
      </c>
      <c r="S132">
        <v>6</v>
      </c>
      <c r="T132" s="2">
        <v>8</v>
      </c>
      <c r="U132" s="2">
        <v>6</v>
      </c>
    </row>
    <row r="133" spans="1:21" ht="12.75">
      <c r="A133">
        <v>208</v>
      </c>
      <c r="B133">
        <v>1</v>
      </c>
      <c r="C133" t="s">
        <v>484</v>
      </c>
      <c r="D133" t="s">
        <v>17</v>
      </c>
      <c r="E133" t="s">
        <v>17</v>
      </c>
      <c r="F133" t="s">
        <v>17</v>
      </c>
      <c r="G133" t="s">
        <v>17</v>
      </c>
      <c r="H133" t="s">
        <v>477</v>
      </c>
      <c r="I133" s="2">
        <v>4.7</v>
      </c>
      <c r="J133" s="4">
        <v>2465</v>
      </c>
      <c r="K133" s="4">
        <v>270451</v>
      </c>
      <c r="L133" t="s">
        <v>478</v>
      </c>
      <c r="M133" s="4">
        <v>14</v>
      </c>
      <c r="N133" s="4">
        <v>14</v>
      </c>
      <c r="O133" s="6">
        <v>1</v>
      </c>
      <c r="P133">
        <v>11</v>
      </c>
      <c r="Q133">
        <v>3</v>
      </c>
      <c r="R133">
        <v>11</v>
      </c>
      <c r="S133">
        <v>3</v>
      </c>
      <c r="T133" s="2">
        <v>11</v>
      </c>
      <c r="U133" s="2">
        <v>3</v>
      </c>
    </row>
    <row r="134" spans="1:21" ht="12.75">
      <c r="A134">
        <v>202</v>
      </c>
      <c r="B134">
        <v>1</v>
      </c>
      <c r="C134" t="s">
        <v>476</v>
      </c>
      <c r="D134" t="s">
        <v>17</v>
      </c>
      <c r="E134" t="s">
        <v>17</v>
      </c>
      <c r="F134" t="s">
        <v>17</v>
      </c>
      <c r="G134" t="s">
        <v>17</v>
      </c>
      <c r="H134" t="s">
        <v>477</v>
      </c>
      <c r="I134" s="2">
        <v>8.6</v>
      </c>
      <c r="J134" s="4">
        <v>1960</v>
      </c>
      <c r="K134" s="4">
        <v>226725</v>
      </c>
      <c r="L134" t="s">
        <v>478</v>
      </c>
      <c r="M134" s="4">
        <v>13</v>
      </c>
      <c r="N134" s="4">
        <v>13</v>
      </c>
      <c r="O134" s="6">
        <v>1</v>
      </c>
      <c r="P134">
        <v>11</v>
      </c>
      <c r="Q134">
        <v>2</v>
      </c>
      <c r="R134">
        <v>11</v>
      </c>
      <c r="S134">
        <v>2</v>
      </c>
      <c r="T134" s="2">
        <v>11</v>
      </c>
      <c r="U134" s="2">
        <v>2</v>
      </c>
    </row>
    <row r="135" spans="1:21" ht="12.75">
      <c r="A135">
        <v>24</v>
      </c>
      <c r="B135">
        <v>1</v>
      </c>
      <c r="C135" t="s">
        <v>76</v>
      </c>
      <c r="D135" t="s">
        <v>17</v>
      </c>
      <c r="E135" t="s">
        <v>17</v>
      </c>
      <c r="F135" t="s">
        <v>17</v>
      </c>
      <c r="G135" t="str">
        <f>HYPERLINK("http://www.ensembl.org/Cavia_porcellus/protview?peptide=ENSCPOP00000001620","P00000001620")</f>
        <v>P00000001620</v>
      </c>
      <c r="I135" s="2">
        <v>9.8</v>
      </c>
      <c r="J135" s="4">
        <v>1230</v>
      </c>
      <c r="K135" s="4">
        <v>136393</v>
      </c>
      <c r="L135" t="s">
        <v>77</v>
      </c>
      <c r="M135" s="4">
        <v>12</v>
      </c>
      <c r="N135" s="4">
        <v>12</v>
      </c>
      <c r="O135" s="6">
        <v>1</v>
      </c>
      <c r="P135">
        <v>9</v>
      </c>
      <c r="Q135">
        <v>3</v>
      </c>
      <c r="R135">
        <v>9</v>
      </c>
      <c r="S135">
        <v>3</v>
      </c>
      <c r="T135" s="2">
        <v>9</v>
      </c>
      <c r="U135" s="2">
        <v>3</v>
      </c>
    </row>
    <row r="136" spans="1:21" ht="12.75">
      <c r="A136">
        <v>58</v>
      </c>
      <c r="B136">
        <v>1</v>
      </c>
      <c r="C136" t="s">
        <v>152</v>
      </c>
      <c r="D136" t="s">
        <v>17</v>
      </c>
      <c r="E136" t="s">
        <v>17</v>
      </c>
      <c r="F136" t="s">
        <v>17</v>
      </c>
      <c r="G136" t="str">
        <f>HYPERLINK("http://www.ensembl.org/Cavia_porcellus/protview?peptide=ENSCPOP00000004542","P00000004542")</f>
        <v>P00000004542</v>
      </c>
      <c r="I136" s="2">
        <v>15.9</v>
      </c>
      <c r="J136" s="4">
        <v>460</v>
      </c>
      <c r="K136" s="4">
        <v>53032</v>
      </c>
      <c r="L136" t="s">
        <v>153</v>
      </c>
      <c r="M136" s="4">
        <v>12</v>
      </c>
      <c r="N136" s="4">
        <v>12</v>
      </c>
      <c r="O136" s="6">
        <v>1</v>
      </c>
      <c r="P136">
        <v>8</v>
      </c>
      <c r="Q136">
        <v>4</v>
      </c>
      <c r="R136">
        <v>8</v>
      </c>
      <c r="S136">
        <v>4</v>
      </c>
      <c r="T136" s="2">
        <v>8</v>
      </c>
      <c r="U136" s="2">
        <v>4</v>
      </c>
    </row>
    <row r="137" spans="1:21" ht="12.75">
      <c r="A137">
        <v>134</v>
      </c>
      <c r="B137">
        <v>1</v>
      </c>
      <c r="C137" t="s">
        <v>322</v>
      </c>
      <c r="D137" t="s">
        <v>17</v>
      </c>
      <c r="E137" t="s">
        <v>17</v>
      </c>
      <c r="F137" t="s">
        <v>17</v>
      </c>
      <c r="G137" t="str">
        <f>HYPERLINK("http://www.ensembl.org/Cavia_porcellus/protview?peptide=ENSCPOP00000011580","P00000011580")</f>
        <v>P00000011580</v>
      </c>
      <c r="I137" s="2">
        <v>15.3</v>
      </c>
      <c r="J137" s="4">
        <v>535</v>
      </c>
      <c r="K137" s="4">
        <v>57421</v>
      </c>
      <c r="L137" t="s">
        <v>323</v>
      </c>
      <c r="M137" s="4">
        <v>12</v>
      </c>
      <c r="N137" s="4">
        <v>12</v>
      </c>
      <c r="O137" s="6">
        <v>1</v>
      </c>
      <c r="P137">
        <v>6</v>
      </c>
      <c r="Q137">
        <v>6</v>
      </c>
      <c r="R137">
        <v>6</v>
      </c>
      <c r="S137">
        <v>6</v>
      </c>
      <c r="T137" s="2">
        <v>6</v>
      </c>
      <c r="U137" s="2">
        <v>6</v>
      </c>
    </row>
    <row r="138" spans="1:21" ht="12.75">
      <c r="A138">
        <v>154</v>
      </c>
      <c r="B138">
        <v>1</v>
      </c>
      <c r="C138" t="s">
        <v>367</v>
      </c>
      <c r="D138" t="s">
        <v>17</v>
      </c>
      <c r="E138" t="s">
        <v>17</v>
      </c>
      <c r="F138" t="s">
        <v>17</v>
      </c>
      <c r="G138" t="str">
        <f>HYPERLINK("http://www.ensembl.org/Cavia_porcellus/protview?peptide=ENSCPOP00000013278","P00000013278")</f>
        <v>P00000013278</v>
      </c>
      <c r="I138" s="2">
        <v>36.1</v>
      </c>
      <c r="J138" s="4">
        <v>133</v>
      </c>
      <c r="K138" s="4">
        <v>14256</v>
      </c>
      <c r="L138" t="s">
        <v>368</v>
      </c>
      <c r="M138" s="4">
        <v>12</v>
      </c>
      <c r="N138" s="4">
        <v>12</v>
      </c>
      <c r="O138" s="6">
        <v>1</v>
      </c>
      <c r="P138">
        <v>4</v>
      </c>
      <c r="Q138">
        <v>8</v>
      </c>
      <c r="R138">
        <v>4</v>
      </c>
      <c r="S138">
        <v>8</v>
      </c>
      <c r="T138" s="2">
        <v>4</v>
      </c>
      <c r="U138" s="2">
        <v>8</v>
      </c>
    </row>
    <row r="139" spans="1:21" ht="12.75">
      <c r="A139">
        <v>201</v>
      </c>
      <c r="B139">
        <v>1</v>
      </c>
      <c r="C139" t="s">
        <v>532</v>
      </c>
      <c r="D139" t="s">
        <v>533</v>
      </c>
      <c r="E139" t="s">
        <v>17</v>
      </c>
      <c r="F139" t="s">
        <v>180</v>
      </c>
      <c r="G139" t="str">
        <f>HYPERLINK("http://www.ensembl.org/Cavia_porcellus/protview?peptide=ENSCPOP00000020498","P00000020498")</f>
        <v>P00000020498</v>
      </c>
      <c r="I139" s="2">
        <v>37.6</v>
      </c>
      <c r="J139" s="4">
        <v>181</v>
      </c>
      <c r="K139" s="4">
        <v>20698</v>
      </c>
      <c r="L139" t="s">
        <v>473</v>
      </c>
      <c r="M139" s="4">
        <v>12</v>
      </c>
      <c r="N139" s="4">
        <v>4</v>
      </c>
      <c r="O139" s="6">
        <v>0.333</v>
      </c>
      <c r="P139">
        <v>8</v>
      </c>
      <c r="Q139">
        <v>4</v>
      </c>
      <c r="R139">
        <v>3</v>
      </c>
      <c r="S139">
        <v>1</v>
      </c>
      <c r="T139" s="2">
        <v>6.75</v>
      </c>
      <c r="U139" s="2">
        <v>2</v>
      </c>
    </row>
    <row r="140" spans="1:21" ht="12.75">
      <c r="A140">
        <v>18</v>
      </c>
      <c r="B140">
        <v>1</v>
      </c>
      <c r="C140" t="s">
        <v>64</v>
      </c>
      <c r="D140" t="s">
        <v>17</v>
      </c>
      <c r="E140" t="s">
        <v>17</v>
      </c>
      <c r="F140" t="s">
        <v>17</v>
      </c>
      <c r="G140" t="str">
        <f>HYPERLINK("http://www.ensembl.org/Cavia_porcellus/protview?peptide=ENSCPOP00000000612","P00000000612")</f>
        <v>P00000000612</v>
      </c>
      <c r="I140" s="2">
        <v>14.3</v>
      </c>
      <c r="J140" s="4">
        <v>736</v>
      </c>
      <c r="K140" s="4">
        <v>82605</v>
      </c>
      <c r="L140" t="s">
        <v>65</v>
      </c>
      <c r="M140" s="4">
        <v>11</v>
      </c>
      <c r="N140" s="4">
        <v>11</v>
      </c>
      <c r="O140" s="6">
        <v>1</v>
      </c>
      <c r="P140">
        <v>6</v>
      </c>
      <c r="Q140">
        <v>5</v>
      </c>
      <c r="R140">
        <v>6</v>
      </c>
      <c r="S140">
        <v>5</v>
      </c>
      <c r="T140" s="2">
        <v>6</v>
      </c>
      <c r="U140" s="2">
        <v>5</v>
      </c>
    </row>
    <row r="141" spans="1:21" ht="12.75">
      <c r="A141">
        <v>49</v>
      </c>
      <c r="B141">
        <v>1</v>
      </c>
      <c r="C141" t="s">
        <v>134</v>
      </c>
      <c r="D141" t="s">
        <v>17</v>
      </c>
      <c r="E141" t="s">
        <v>17</v>
      </c>
      <c r="F141" t="s">
        <v>17</v>
      </c>
      <c r="G141" t="str">
        <f>HYPERLINK("http://www.ensembl.org/Cavia_porcellus/protview?peptide=ENSCPOP00000003760","P00000003760")</f>
        <v>P00000003760</v>
      </c>
      <c r="I141" s="2">
        <v>19.2</v>
      </c>
      <c r="J141" s="4">
        <v>646</v>
      </c>
      <c r="K141" s="4">
        <v>70899</v>
      </c>
      <c r="L141" t="s">
        <v>135</v>
      </c>
      <c r="M141" s="4">
        <v>11</v>
      </c>
      <c r="N141" s="4">
        <v>11</v>
      </c>
      <c r="O141" s="6">
        <v>1</v>
      </c>
      <c r="P141">
        <v>5</v>
      </c>
      <c r="Q141">
        <v>6</v>
      </c>
      <c r="R141">
        <v>5</v>
      </c>
      <c r="S141">
        <v>6</v>
      </c>
      <c r="T141" s="2">
        <v>5</v>
      </c>
      <c r="U141" s="2">
        <v>6</v>
      </c>
    </row>
    <row r="142" spans="1:21" ht="12.75">
      <c r="A142">
        <v>51</v>
      </c>
      <c r="B142">
        <v>1</v>
      </c>
      <c r="C142" t="s">
        <v>138</v>
      </c>
      <c r="D142" t="s">
        <v>17</v>
      </c>
      <c r="E142" t="s">
        <v>17</v>
      </c>
      <c r="F142" t="s">
        <v>17</v>
      </c>
      <c r="G142" t="str">
        <f>HYPERLINK("http://www.ensembl.org/Cavia_porcellus/protview?peptide=ENSCPOP00000003845","P00000003845")</f>
        <v>P00000003845</v>
      </c>
      <c r="I142" s="2">
        <v>17.8</v>
      </c>
      <c r="J142" s="4">
        <v>472</v>
      </c>
      <c r="K142" s="4">
        <v>53404</v>
      </c>
      <c r="L142" t="s">
        <v>139</v>
      </c>
      <c r="M142" s="4">
        <v>11</v>
      </c>
      <c r="N142" s="4">
        <v>11</v>
      </c>
      <c r="O142" s="6">
        <v>1</v>
      </c>
      <c r="P142">
        <v>6</v>
      </c>
      <c r="Q142">
        <v>5</v>
      </c>
      <c r="R142">
        <v>6</v>
      </c>
      <c r="S142">
        <v>5</v>
      </c>
      <c r="T142" s="2">
        <v>6</v>
      </c>
      <c r="U142" s="2">
        <v>5</v>
      </c>
    </row>
    <row r="143" spans="1:21" ht="12.75">
      <c r="A143">
        <v>63</v>
      </c>
      <c r="B143">
        <v>1</v>
      </c>
      <c r="C143" t="s">
        <v>162</v>
      </c>
      <c r="D143" t="s">
        <v>17</v>
      </c>
      <c r="E143" t="s">
        <v>17</v>
      </c>
      <c r="F143" t="s">
        <v>17</v>
      </c>
      <c r="G143" t="str">
        <f>HYPERLINK("http://www.ensembl.org/Cavia_porcellus/protview?peptide=ENSCPOP00000005055","P00000005055")</f>
        <v>P00000005055</v>
      </c>
      <c r="I143" s="2">
        <v>25.7</v>
      </c>
      <c r="J143" s="4">
        <v>101</v>
      </c>
      <c r="K143" s="4">
        <v>11687</v>
      </c>
      <c r="L143" t="s">
        <v>163</v>
      </c>
      <c r="M143" s="4">
        <v>11</v>
      </c>
      <c r="N143" s="4">
        <v>11</v>
      </c>
      <c r="O143" s="6">
        <v>1</v>
      </c>
      <c r="P143">
        <v>6</v>
      </c>
      <c r="Q143">
        <v>5</v>
      </c>
      <c r="R143">
        <v>6</v>
      </c>
      <c r="S143">
        <v>5</v>
      </c>
      <c r="T143" s="2">
        <v>6</v>
      </c>
      <c r="U143" s="2">
        <v>5</v>
      </c>
    </row>
    <row r="144" spans="1:21" ht="12.75">
      <c r="A144">
        <v>70</v>
      </c>
      <c r="B144">
        <v>1</v>
      </c>
      <c r="C144" t="s">
        <v>178</v>
      </c>
      <c r="D144" t="s">
        <v>17</v>
      </c>
      <c r="E144" t="s">
        <v>17</v>
      </c>
      <c r="F144" t="s">
        <v>180</v>
      </c>
      <c r="G144" t="str">
        <f>HYPERLINK("http://www.ensembl.org/Cavia_porcellus/protview?peptide=ENSCPOP00000005627","P00000005627")</f>
        <v>P00000005627</v>
      </c>
      <c r="I144" s="2">
        <v>34.4</v>
      </c>
      <c r="J144" s="4">
        <v>183</v>
      </c>
      <c r="K144" s="4">
        <v>20873</v>
      </c>
      <c r="L144" t="s">
        <v>179</v>
      </c>
      <c r="M144" s="4">
        <v>11</v>
      </c>
      <c r="N144" s="4">
        <v>3</v>
      </c>
      <c r="O144" s="6">
        <v>0.273</v>
      </c>
      <c r="P144">
        <v>6</v>
      </c>
      <c r="Q144">
        <v>5</v>
      </c>
      <c r="R144">
        <v>1</v>
      </c>
      <c r="S144">
        <v>2</v>
      </c>
      <c r="T144" s="2">
        <v>2.25</v>
      </c>
      <c r="U144" s="2">
        <v>4</v>
      </c>
    </row>
    <row r="145" spans="1:21" ht="12.75">
      <c r="A145">
        <v>95</v>
      </c>
      <c r="B145">
        <v>1</v>
      </c>
      <c r="C145" t="s">
        <v>234</v>
      </c>
      <c r="D145" t="s">
        <v>17</v>
      </c>
      <c r="E145" t="s">
        <v>17</v>
      </c>
      <c r="F145" t="s">
        <v>17</v>
      </c>
      <c r="G145" t="str">
        <f>HYPERLINK("http://www.ensembl.org/Cavia_porcellus/protview?peptide=ENSCPOP00000007755","P00000007755")</f>
        <v>P00000007755</v>
      </c>
      <c r="I145" s="2">
        <v>15.5</v>
      </c>
      <c r="J145" s="4">
        <v>413</v>
      </c>
      <c r="K145" s="4">
        <v>46200</v>
      </c>
      <c r="L145" t="s">
        <v>235</v>
      </c>
      <c r="M145" s="4">
        <v>11</v>
      </c>
      <c r="N145" s="4">
        <v>11</v>
      </c>
      <c r="O145" s="6">
        <v>1</v>
      </c>
      <c r="P145">
        <v>6</v>
      </c>
      <c r="Q145">
        <v>5</v>
      </c>
      <c r="R145">
        <v>6</v>
      </c>
      <c r="S145">
        <v>5</v>
      </c>
      <c r="T145" s="2">
        <v>6</v>
      </c>
      <c r="U145" s="2">
        <v>5</v>
      </c>
    </row>
    <row r="146" spans="1:21" ht="12.75">
      <c r="A146">
        <v>186</v>
      </c>
      <c r="B146">
        <v>1</v>
      </c>
      <c r="C146" t="s">
        <v>442</v>
      </c>
      <c r="D146" t="s">
        <v>17</v>
      </c>
      <c r="E146" t="s">
        <v>17</v>
      </c>
      <c r="F146" t="s">
        <v>17</v>
      </c>
      <c r="G146" t="str">
        <f>HYPERLINK("http://www.ensembl.org/Cavia_porcellus/protview?peptide=ENSCPOP00000018544","P00000018544")</f>
        <v>P00000018544</v>
      </c>
      <c r="I146" s="2">
        <v>9.1</v>
      </c>
      <c r="J146" s="4">
        <v>364</v>
      </c>
      <c r="K146" s="4">
        <v>39536</v>
      </c>
      <c r="L146" t="s">
        <v>443</v>
      </c>
      <c r="M146" s="4">
        <v>11</v>
      </c>
      <c r="N146" s="4">
        <v>11</v>
      </c>
      <c r="O146" s="6">
        <v>1</v>
      </c>
      <c r="P146">
        <v>3</v>
      </c>
      <c r="Q146">
        <v>8</v>
      </c>
      <c r="R146">
        <v>3</v>
      </c>
      <c r="S146">
        <v>8</v>
      </c>
      <c r="T146" s="2">
        <v>3</v>
      </c>
      <c r="U146" s="2">
        <v>8</v>
      </c>
    </row>
    <row r="147" spans="1:21" ht="12.75">
      <c r="A147">
        <v>207</v>
      </c>
      <c r="B147">
        <v>1</v>
      </c>
      <c r="C147" t="s">
        <v>483</v>
      </c>
      <c r="D147" t="s">
        <v>17</v>
      </c>
      <c r="E147" t="s">
        <v>17</v>
      </c>
      <c r="F147" t="s">
        <v>17</v>
      </c>
      <c r="G147" t="s">
        <v>17</v>
      </c>
      <c r="H147" t="s">
        <v>477</v>
      </c>
      <c r="I147" s="2">
        <v>5.4</v>
      </c>
      <c r="J147" s="4">
        <v>1675</v>
      </c>
      <c r="K147" s="4">
        <v>191616</v>
      </c>
      <c r="L147" t="s">
        <v>478</v>
      </c>
      <c r="M147" s="4">
        <v>11</v>
      </c>
      <c r="N147" s="4">
        <v>11</v>
      </c>
      <c r="O147" s="6">
        <v>1</v>
      </c>
      <c r="P147">
        <v>4</v>
      </c>
      <c r="Q147">
        <v>7</v>
      </c>
      <c r="R147">
        <v>4</v>
      </c>
      <c r="S147">
        <v>7</v>
      </c>
      <c r="T147" s="2">
        <v>4</v>
      </c>
      <c r="U147" s="2">
        <v>7</v>
      </c>
    </row>
    <row r="148" spans="1:21" ht="12.75">
      <c r="A148">
        <v>62</v>
      </c>
      <c r="B148">
        <v>1</v>
      </c>
      <c r="C148" t="s">
        <v>160</v>
      </c>
      <c r="D148" t="s">
        <v>17</v>
      </c>
      <c r="E148" t="s">
        <v>17</v>
      </c>
      <c r="F148" t="s">
        <v>17</v>
      </c>
      <c r="G148" t="str">
        <f>HYPERLINK("http://www.ensembl.org/Cavia_porcellus/protview?peptide=ENSCPOP00000004961","P00000004961")</f>
        <v>P00000004961</v>
      </c>
      <c r="I148" s="2">
        <v>10.3</v>
      </c>
      <c r="J148" s="4">
        <v>1675</v>
      </c>
      <c r="K148" s="4">
        <v>191616</v>
      </c>
      <c r="L148" t="s">
        <v>161</v>
      </c>
      <c r="M148" s="4">
        <v>10</v>
      </c>
      <c r="N148" s="4">
        <v>10</v>
      </c>
      <c r="O148" s="6">
        <v>1</v>
      </c>
      <c r="P148">
        <v>8</v>
      </c>
      <c r="Q148">
        <v>2</v>
      </c>
      <c r="R148">
        <v>8</v>
      </c>
      <c r="S148">
        <v>2</v>
      </c>
      <c r="T148" s="2">
        <v>8</v>
      </c>
      <c r="U148" s="2">
        <v>2</v>
      </c>
    </row>
    <row r="149" spans="1:21" ht="12.75">
      <c r="A149">
        <v>103</v>
      </c>
      <c r="B149">
        <v>1</v>
      </c>
      <c r="C149" t="s">
        <v>251</v>
      </c>
      <c r="D149" t="s">
        <v>17</v>
      </c>
      <c r="E149" t="s">
        <v>17</v>
      </c>
      <c r="F149" t="s">
        <v>17</v>
      </c>
      <c r="G149" t="str">
        <f>HYPERLINK("http://www.ensembl.org/Cavia_porcellus/protview?peptide=ENSCPOP00000008701","P00000008701")</f>
        <v>P00000008701</v>
      </c>
      <c r="I149" s="2">
        <v>10.9</v>
      </c>
      <c r="J149" s="4">
        <v>451</v>
      </c>
      <c r="K149" s="4">
        <v>50880</v>
      </c>
      <c r="L149" t="s">
        <v>252</v>
      </c>
      <c r="M149" s="4">
        <v>10</v>
      </c>
      <c r="N149" s="4">
        <v>10</v>
      </c>
      <c r="O149" s="6">
        <v>1</v>
      </c>
      <c r="P149">
        <v>5</v>
      </c>
      <c r="Q149">
        <v>5</v>
      </c>
      <c r="R149">
        <v>5</v>
      </c>
      <c r="S149">
        <v>5</v>
      </c>
      <c r="T149" s="2">
        <v>5</v>
      </c>
      <c r="U149" s="2">
        <v>5</v>
      </c>
    </row>
    <row r="150" spans="1:21" ht="12.75">
      <c r="A150">
        <v>107</v>
      </c>
      <c r="B150">
        <v>1</v>
      </c>
      <c r="C150" t="s">
        <v>262</v>
      </c>
      <c r="D150" t="s">
        <v>17</v>
      </c>
      <c r="E150" t="s">
        <v>17</v>
      </c>
      <c r="F150" t="s">
        <v>105</v>
      </c>
      <c r="G150" t="str">
        <f>HYPERLINK("http://www.ensembl.org/Cavia_porcellus/protview?peptide=ENSCPOP00000009454","P00000009454")</f>
        <v>P00000009454</v>
      </c>
      <c r="I150" s="2">
        <v>3.5</v>
      </c>
      <c r="J150" s="4">
        <v>2602</v>
      </c>
      <c r="K150" s="4">
        <v>278328</v>
      </c>
      <c r="L150" t="s">
        <v>263</v>
      </c>
      <c r="M150" s="4">
        <v>10</v>
      </c>
      <c r="N150" s="4">
        <v>6</v>
      </c>
      <c r="O150" s="6">
        <v>0.6</v>
      </c>
      <c r="P150">
        <v>7</v>
      </c>
      <c r="Q150">
        <v>3</v>
      </c>
      <c r="R150">
        <v>5</v>
      </c>
      <c r="S150">
        <v>1</v>
      </c>
      <c r="T150" s="2">
        <v>5.083</v>
      </c>
      <c r="U150" s="2">
        <v>1.038</v>
      </c>
    </row>
    <row r="151" spans="1:21" ht="12.75">
      <c r="A151">
        <v>132</v>
      </c>
      <c r="B151">
        <v>1</v>
      </c>
      <c r="C151" t="s">
        <v>318</v>
      </c>
      <c r="D151" t="s">
        <v>17</v>
      </c>
      <c r="E151" t="s">
        <v>17</v>
      </c>
      <c r="F151" t="s">
        <v>17</v>
      </c>
      <c r="G151" t="str">
        <f>HYPERLINK("http://www.ensembl.org/Cavia_porcellus/protview?peptide=ENSCPOP00000011214","P00000011214")</f>
        <v>P00000011214</v>
      </c>
      <c r="I151" s="2">
        <v>2.5</v>
      </c>
      <c r="J151" s="4">
        <v>2650</v>
      </c>
      <c r="K151" s="4">
        <v>302607</v>
      </c>
      <c r="L151" t="s">
        <v>319</v>
      </c>
      <c r="M151" s="4">
        <v>10</v>
      </c>
      <c r="N151" s="4">
        <v>10</v>
      </c>
      <c r="O151" s="6">
        <v>1</v>
      </c>
      <c r="P151">
        <v>7</v>
      </c>
      <c r="Q151">
        <v>3</v>
      </c>
      <c r="R151">
        <v>7</v>
      </c>
      <c r="S151">
        <v>3</v>
      </c>
      <c r="T151" s="2">
        <v>7</v>
      </c>
      <c r="U151" s="2">
        <v>3</v>
      </c>
    </row>
    <row r="152" spans="1:21" ht="12.75">
      <c r="A152">
        <v>157</v>
      </c>
      <c r="B152">
        <v>1</v>
      </c>
      <c r="C152" t="s">
        <v>373</v>
      </c>
      <c r="D152" t="s">
        <v>17</v>
      </c>
      <c r="E152" t="s">
        <v>17</v>
      </c>
      <c r="F152" t="s">
        <v>17</v>
      </c>
      <c r="G152" t="str">
        <f>HYPERLINK("http://www.ensembl.org/Cavia_porcellus/protview?peptide=ENSCPOP00000013548","P00000013548")</f>
        <v>P00000013548</v>
      </c>
      <c r="I152" s="2">
        <v>9.7</v>
      </c>
      <c r="J152" s="4">
        <v>546</v>
      </c>
      <c r="K152" s="4">
        <v>59973</v>
      </c>
      <c r="L152" t="s">
        <v>374</v>
      </c>
      <c r="M152" s="4">
        <v>10</v>
      </c>
      <c r="N152" s="4">
        <v>10</v>
      </c>
      <c r="O152" s="6">
        <v>1</v>
      </c>
      <c r="P152">
        <v>8</v>
      </c>
      <c r="Q152">
        <v>2</v>
      </c>
      <c r="R152">
        <v>8</v>
      </c>
      <c r="S152">
        <v>2</v>
      </c>
      <c r="T152" s="2">
        <v>8</v>
      </c>
      <c r="U152" s="2">
        <v>2</v>
      </c>
    </row>
    <row r="153" spans="1:21" ht="12.75">
      <c r="A153">
        <v>165</v>
      </c>
      <c r="B153">
        <v>1</v>
      </c>
      <c r="C153" t="s">
        <v>390</v>
      </c>
      <c r="D153" t="s">
        <v>17</v>
      </c>
      <c r="E153" t="s">
        <v>17</v>
      </c>
      <c r="F153" t="s">
        <v>17</v>
      </c>
      <c r="G153" t="str">
        <f>HYPERLINK("http://www.ensembl.org/Cavia_porcellus/protview?peptide=ENSCPOP00000015124","P00000015124")</f>
        <v>P00000015124</v>
      </c>
      <c r="I153" s="2">
        <v>15.7</v>
      </c>
      <c r="J153" s="4">
        <v>700</v>
      </c>
      <c r="K153" s="4">
        <v>79603</v>
      </c>
      <c r="L153" t="s">
        <v>391</v>
      </c>
      <c r="M153" s="4">
        <v>10</v>
      </c>
      <c r="N153" s="4">
        <v>10</v>
      </c>
      <c r="O153" s="6">
        <v>1</v>
      </c>
      <c r="P153">
        <v>6</v>
      </c>
      <c r="Q153">
        <v>4</v>
      </c>
      <c r="R153">
        <v>6</v>
      </c>
      <c r="S153">
        <v>4</v>
      </c>
      <c r="T153" s="2">
        <v>6</v>
      </c>
      <c r="U153" s="2">
        <v>4</v>
      </c>
    </row>
    <row r="154" spans="1:21" ht="12.75">
      <c r="A154">
        <v>180</v>
      </c>
      <c r="B154">
        <v>1</v>
      </c>
      <c r="C154" t="s">
        <v>427</v>
      </c>
      <c r="D154" t="s">
        <v>17</v>
      </c>
      <c r="E154" t="s">
        <v>17</v>
      </c>
      <c r="F154" t="s">
        <v>17</v>
      </c>
      <c r="G154" t="str">
        <f>HYPERLINK("http://www.ensembl.org/Cavia_porcellus/protview?peptide=ENSCPOP00000017620","P00000017620")</f>
        <v>P00000017620</v>
      </c>
      <c r="I154" s="2">
        <v>6.2</v>
      </c>
      <c r="J154" s="4">
        <v>1970</v>
      </c>
      <c r="K154" s="4">
        <v>208457</v>
      </c>
      <c r="L154" t="s">
        <v>428</v>
      </c>
      <c r="M154" s="4">
        <v>10</v>
      </c>
      <c r="N154" s="4">
        <v>10</v>
      </c>
      <c r="O154" s="6">
        <v>1</v>
      </c>
      <c r="P154">
        <v>3</v>
      </c>
      <c r="Q154">
        <v>7</v>
      </c>
      <c r="R154">
        <v>3</v>
      </c>
      <c r="S154">
        <v>7</v>
      </c>
      <c r="T154" s="2">
        <v>3</v>
      </c>
      <c r="U154" s="2">
        <v>7</v>
      </c>
    </row>
    <row r="155" spans="1:21" ht="12.75">
      <c r="A155">
        <v>196</v>
      </c>
      <c r="B155">
        <v>1</v>
      </c>
      <c r="C155" t="s">
        <v>462</v>
      </c>
      <c r="D155" t="s">
        <v>17</v>
      </c>
      <c r="E155" t="s">
        <v>17</v>
      </c>
      <c r="F155" t="s">
        <v>17</v>
      </c>
      <c r="G155" t="str">
        <f>HYPERLINK("http://www.ensembl.org/Cavia_porcellus/protview?peptide=ENSCPOP00000020182","P00000020182")</f>
        <v>P00000020182</v>
      </c>
      <c r="I155" s="2">
        <v>3</v>
      </c>
      <c r="J155" s="4">
        <v>1383</v>
      </c>
      <c r="K155" s="4">
        <v>149287</v>
      </c>
      <c r="L155" t="s">
        <v>463</v>
      </c>
      <c r="M155" s="4">
        <v>10</v>
      </c>
      <c r="N155" s="4">
        <v>10</v>
      </c>
      <c r="O155" s="6">
        <v>1</v>
      </c>
      <c r="P155">
        <v>5</v>
      </c>
      <c r="Q155">
        <v>5</v>
      </c>
      <c r="R155">
        <v>5</v>
      </c>
      <c r="S155">
        <v>5</v>
      </c>
      <c r="T155" s="2">
        <v>5</v>
      </c>
      <c r="U155" s="2">
        <v>5</v>
      </c>
    </row>
    <row r="156" spans="1:21" ht="12.75">
      <c r="A156">
        <v>200</v>
      </c>
      <c r="B156">
        <v>1</v>
      </c>
      <c r="C156" t="s">
        <v>470</v>
      </c>
      <c r="D156" t="s">
        <v>17</v>
      </c>
      <c r="E156" t="s">
        <v>17</v>
      </c>
      <c r="F156" t="s">
        <v>17</v>
      </c>
      <c r="G156" t="str">
        <f>HYPERLINK("http://www.ensembl.org/Cavia_porcellus/protview?peptide=ENSCPOP00000020424","P00000020424")</f>
        <v>P00000020424</v>
      </c>
      <c r="I156" s="2">
        <v>8.7</v>
      </c>
      <c r="J156" s="4">
        <v>437</v>
      </c>
      <c r="K156" s="4">
        <v>50103</v>
      </c>
      <c r="L156" t="s">
        <v>471</v>
      </c>
      <c r="M156" s="4">
        <v>10</v>
      </c>
      <c r="N156" s="4">
        <v>10</v>
      </c>
      <c r="O156" s="6">
        <v>1</v>
      </c>
      <c r="P156">
        <v>5</v>
      </c>
      <c r="Q156">
        <v>5</v>
      </c>
      <c r="R156">
        <v>5</v>
      </c>
      <c r="S156">
        <v>5</v>
      </c>
      <c r="T156" s="2">
        <v>5</v>
      </c>
      <c r="U156" s="2">
        <v>5</v>
      </c>
    </row>
    <row r="157" spans="1:21" ht="12.75">
      <c r="A157">
        <v>217</v>
      </c>
      <c r="B157">
        <v>1</v>
      </c>
      <c r="C157" t="s">
        <v>493</v>
      </c>
      <c r="D157" t="s">
        <v>17</v>
      </c>
      <c r="E157" t="s">
        <v>17</v>
      </c>
      <c r="F157" t="s">
        <v>17</v>
      </c>
      <c r="G157" t="s">
        <v>17</v>
      </c>
      <c r="H157" t="s">
        <v>477</v>
      </c>
      <c r="I157" s="2">
        <v>2.8</v>
      </c>
      <c r="J157" s="4">
        <v>4503</v>
      </c>
      <c r="K157" s="4">
        <v>511715</v>
      </c>
      <c r="L157" t="s">
        <v>478</v>
      </c>
      <c r="M157" s="4">
        <v>10</v>
      </c>
      <c r="N157" s="4">
        <v>10</v>
      </c>
      <c r="O157" s="6">
        <v>1</v>
      </c>
      <c r="P157">
        <v>5</v>
      </c>
      <c r="Q157">
        <v>5</v>
      </c>
      <c r="R157">
        <v>5</v>
      </c>
      <c r="S157">
        <v>5</v>
      </c>
      <c r="T157" s="2">
        <v>5</v>
      </c>
      <c r="U157" s="2">
        <v>5</v>
      </c>
    </row>
    <row r="158" spans="1:21" ht="12.75">
      <c r="A158">
        <v>32</v>
      </c>
      <c r="B158">
        <v>1</v>
      </c>
      <c r="C158" t="s">
        <v>95</v>
      </c>
      <c r="D158" t="s">
        <v>17</v>
      </c>
      <c r="E158" t="s">
        <v>17</v>
      </c>
      <c r="F158" t="s">
        <v>17</v>
      </c>
      <c r="G158" t="str">
        <f>HYPERLINK("http://www.ensembl.org/Cavia_porcellus/protview?peptide=ENSCPOP00000002196","P00000002196")</f>
        <v>P00000002196</v>
      </c>
      <c r="I158" s="2">
        <v>25.8</v>
      </c>
      <c r="J158" s="4">
        <v>298</v>
      </c>
      <c r="K158" s="4">
        <v>33622</v>
      </c>
      <c r="L158" t="s">
        <v>96</v>
      </c>
      <c r="M158" s="4">
        <v>9</v>
      </c>
      <c r="N158" s="4">
        <v>9</v>
      </c>
      <c r="O158" s="6">
        <v>1</v>
      </c>
      <c r="P158">
        <v>6</v>
      </c>
      <c r="Q158">
        <v>3</v>
      </c>
      <c r="R158">
        <v>6</v>
      </c>
      <c r="S158">
        <v>3</v>
      </c>
      <c r="T158" s="2">
        <v>6</v>
      </c>
      <c r="U158" s="2">
        <v>3</v>
      </c>
    </row>
    <row r="159" spans="1:21" ht="12.75">
      <c r="A159">
        <v>57</v>
      </c>
      <c r="B159">
        <v>1</v>
      </c>
      <c r="C159" t="s">
        <v>150</v>
      </c>
      <c r="D159" t="s">
        <v>17</v>
      </c>
      <c r="E159" t="s">
        <v>17</v>
      </c>
      <c r="F159" t="s">
        <v>17</v>
      </c>
      <c r="G159" t="str">
        <f>HYPERLINK("http://www.ensembl.org/Cavia_porcellus/protview?peptide=ENSCPOP00000004539","P00000004539")</f>
        <v>P00000004539</v>
      </c>
      <c r="I159" s="2">
        <v>1.4</v>
      </c>
      <c r="J159" s="4">
        <v>4380</v>
      </c>
      <c r="K159" s="4">
        <v>483440</v>
      </c>
      <c r="L159" t="s">
        <v>151</v>
      </c>
      <c r="M159" s="4">
        <v>9</v>
      </c>
      <c r="N159" s="4">
        <v>9</v>
      </c>
      <c r="O159" s="6">
        <v>1</v>
      </c>
      <c r="P159">
        <v>5</v>
      </c>
      <c r="Q159">
        <v>4</v>
      </c>
      <c r="R159">
        <v>5</v>
      </c>
      <c r="S159">
        <v>4</v>
      </c>
      <c r="T159" s="2">
        <v>5</v>
      </c>
      <c r="U159" s="2">
        <v>4</v>
      </c>
    </row>
    <row r="160" spans="1:21" ht="12.75">
      <c r="A160">
        <v>71</v>
      </c>
      <c r="B160">
        <v>1</v>
      </c>
      <c r="C160" t="s">
        <v>181</v>
      </c>
      <c r="D160" t="s">
        <v>17</v>
      </c>
      <c r="E160" t="s">
        <v>17</v>
      </c>
      <c r="F160" t="s">
        <v>17</v>
      </c>
      <c r="G160" t="str">
        <f>HYPERLINK("http://www.ensembl.org/Cavia_porcellus/protview?peptide=ENSCPOP00000005650","P00000005650")</f>
        <v>P00000005650</v>
      </c>
      <c r="I160" s="2">
        <v>31.1</v>
      </c>
      <c r="J160" s="4">
        <v>135</v>
      </c>
      <c r="K160" s="4">
        <v>14815</v>
      </c>
      <c r="L160" t="s">
        <v>182</v>
      </c>
      <c r="M160" s="4">
        <v>9</v>
      </c>
      <c r="N160" s="4">
        <v>9</v>
      </c>
      <c r="O160" s="6">
        <v>1</v>
      </c>
      <c r="P160">
        <v>2</v>
      </c>
      <c r="Q160">
        <v>7</v>
      </c>
      <c r="R160">
        <v>2</v>
      </c>
      <c r="S160">
        <v>7</v>
      </c>
      <c r="T160" s="2">
        <v>2</v>
      </c>
      <c r="U160" s="2">
        <v>7</v>
      </c>
    </row>
    <row r="161" spans="1:21" ht="12.75">
      <c r="A161">
        <v>114</v>
      </c>
      <c r="B161">
        <v>1</v>
      </c>
      <c r="C161" t="s">
        <v>277</v>
      </c>
      <c r="D161" t="s">
        <v>17</v>
      </c>
      <c r="E161" t="s">
        <v>17</v>
      </c>
      <c r="F161" t="s">
        <v>17</v>
      </c>
      <c r="G161" t="str">
        <f>HYPERLINK("http://www.ensembl.org/Cavia_porcellus/protview?peptide=ENSCPOP00000009971","P00000009971")</f>
        <v>P00000009971</v>
      </c>
      <c r="I161" s="2">
        <v>14.9</v>
      </c>
      <c r="J161" s="4">
        <v>376</v>
      </c>
      <c r="K161" s="4">
        <v>42615</v>
      </c>
      <c r="L161" t="s">
        <v>278</v>
      </c>
      <c r="M161" s="4">
        <v>9</v>
      </c>
      <c r="N161" s="4">
        <v>9</v>
      </c>
      <c r="O161" s="6">
        <v>1</v>
      </c>
      <c r="P161">
        <v>5</v>
      </c>
      <c r="Q161">
        <v>4</v>
      </c>
      <c r="R161">
        <v>5</v>
      </c>
      <c r="S161">
        <v>4</v>
      </c>
      <c r="T161" s="2">
        <v>5</v>
      </c>
      <c r="U161" s="2">
        <v>4</v>
      </c>
    </row>
    <row r="162" spans="1:21" ht="12.75">
      <c r="A162">
        <v>122</v>
      </c>
      <c r="B162">
        <v>1</v>
      </c>
      <c r="C162" t="s">
        <v>294</v>
      </c>
      <c r="D162" t="s">
        <v>17</v>
      </c>
      <c r="E162" t="s">
        <v>17</v>
      </c>
      <c r="F162" t="s">
        <v>17</v>
      </c>
      <c r="G162" t="str">
        <f>HYPERLINK("http://www.ensembl.org/Cavia_porcellus/protview?peptide=ENSCPOP00000010708","P00000010708")</f>
        <v>P00000010708</v>
      </c>
      <c r="I162" s="2">
        <v>11.1</v>
      </c>
      <c r="J162" s="4">
        <v>911</v>
      </c>
      <c r="K162" s="4">
        <v>105013</v>
      </c>
      <c r="L162" t="s">
        <v>295</v>
      </c>
      <c r="M162" s="4">
        <v>9</v>
      </c>
      <c r="N162" s="4">
        <v>9</v>
      </c>
      <c r="O162" s="6">
        <v>1</v>
      </c>
      <c r="P162">
        <v>9</v>
      </c>
      <c r="Q162">
        <v>0</v>
      </c>
      <c r="R162">
        <v>9</v>
      </c>
      <c r="S162">
        <v>0</v>
      </c>
      <c r="T162" s="2">
        <v>9</v>
      </c>
      <c r="U162" s="2">
        <v>0</v>
      </c>
    </row>
    <row r="163" spans="1:21" ht="12.75">
      <c r="A163">
        <v>138</v>
      </c>
      <c r="B163">
        <v>1</v>
      </c>
      <c r="C163" t="s">
        <v>333</v>
      </c>
      <c r="D163" t="s">
        <v>17</v>
      </c>
      <c r="E163" t="s">
        <v>17</v>
      </c>
      <c r="F163" t="s">
        <v>17</v>
      </c>
      <c r="G163" t="str">
        <f>HYPERLINK("http://www.ensembl.org/Cavia_porcellus/protview?peptide=ENSCPOP00000011823","P00000011823")</f>
        <v>P00000011823</v>
      </c>
      <c r="I163" s="2">
        <v>26.9</v>
      </c>
      <c r="J163" s="4">
        <v>234</v>
      </c>
      <c r="K163" s="4">
        <v>25900</v>
      </c>
      <c r="L163" t="s">
        <v>334</v>
      </c>
      <c r="M163" s="4">
        <v>9</v>
      </c>
      <c r="N163" s="4">
        <v>9</v>
      </c>
      <c r="O163" s="6">
        <v>1</v>
      </c>
      <c r="P163">
        <v>6</v>
      </c>
      <c r="Q163">
        <v>3</v>
      </c>
      <c r="R163">
        <v>6</v>
      </c>
      <c r="S163">
        <v>3</v>
      </c>
      <c r="T163" s="2">
        <v>6</v>
      </c>
      <c r="U163" s="2">
        <v>3</v>
      </c>
    </row>
    <row r="164" spans="1:21" ht="12.75">
      <c r="A164">
        <v>147</v>
      </c>
      <c r="B164">
        <v>1</v>
      </c>
      <c r="C164" t="s">
        <v>352</v>
      </c>
      <c r="D164" t="s">
        <v>17</v>
      </c>
      <c r="E164" t="s">
        <v>17</v>
      </c>
      <c r="F164" t="s">
        <v>17</v>
      </c>
      <c r="G164" t="str">
        <f>HYPERLINK("http://www.ensembl.org/Cavia_porcellus/protview?peptide=ENSCPOP00000012652","P00000012652")</f>
        <v>P00000012652</v>
      </c>
      <c r="I164" s="2">
        <v>13.2</v>
      </c>
      <c r="J164" s="4">
        <v>265</v>
      </c>
      <c r="K164" s="4">
        <v>28783</v>
      </c>
      <c r="L164" t="s">
        <v>353</v>
      </c>
      <c r="M164" s="4">
        <v>9</v>
      </c>
      <c r="N164" s="4">
        <v>9</v>
      </c>
      <c r="O164" s="6">
        <v>1</v>
      </c>
      <c r="P164">
        <v>7</v>
      </c>
      <c r="Q164">
        <v>2</v>
      </c>
      <c r="R164">
        <v>7</v>
      </c>
      <c r="S164">
        <v>2</v>
      </c>
      <c r="T164" s="2">
        <v>7</v>
      </c>
      <c r="U164" s="2">
        <v>2</v>
      </c>
    </row>
    <row r="165" spans="1:21" ht="12.75">
      <c r="A165">
        <v>153</v>
      </c>
      <c r="B165">
        <v>1</v>
      </c>
      <c r="C165" t="s">
        <v>365</v>
      </c>
      <c r="D165" t="s">
        <v>17</v>
      </c>
      <c r="E165" t="s">
        <v>17</v>
      </c>
      <c r="F165" t="s">
        <v>17</v>
      </c>
      <c r="G165" t="str">
        <f>HYPERLINK("http://www.ensembl.org/Cavia_porcellus/protview?peptide=ENSCPOP00000013199","P00000013199")</f>
        <v>P00000013199</v>
      </c>
      <c r="I165" s="2">
        <v>9.3</v>
      </c>
      <c r="J165" s="4">
        <v>410</v>
      </c>
      <c r="K165" s="4">
        <v>46671</v>
      </c>
      <c r="L165" t="s">
        <v>366</v>
      </c>
      <c r="M165" s="4">
        <v>9</v>
      </c>
      <c r="N165" s="4">
        <v>9</v>
      </c>
      <c r="O165" s="6">
        <v>1</v>
      </c>
      <c r="P165">
        <v>5</v>
      </c>
      <c r="Q165">
        <v>4</v>
      </c>
      <c r="R165">
        <v>5</v>
      </c>
      <c r="S165">
        <v>4</v>
      </c>
      <c r="T165" s="2">
        <v>5</v>
      </c>
      <c r="U165" s="2">
        <v>4</v>
      </c>
    </row>
    <row r="166" spans="1:21" ht="12.75">
      <c r="A166">
        <v>21</v>
      </c>
      <c r="B166">
        <v>1</v>
      </c>
      <c r="C166" t="s">
        <v>70</v>
      </c>
      <c r="D166" t="s">
        <v>17</v>
      </c>
      <c r="E166" t="s">
        <v>17</v>
      </c>
      <c r="F166" t="s">
        <v>17</v>
      </c>
      <c r="G166" t="str">
        <f>HYPERLINK("http://www.ensembl.org/Cavia_porcellus/protview?peptide=ENSCPOP00000001161","P00000001161")</f>
        <v>P00000001161</v>
      </c>
      <c r="I166" s="2">
        <v>25</v>
      </c>
      <c r="J166" s="4">
        <v>324</v>
      </c>
      <c r="K166" s="4">
        <v>36749</v>
      </c>
      <c r="L166" t="s">
        <v>71</v>
      </c>
      <c r="M166" s="4">
        <v>8</v>
      </c>
      <c r="N166" s="4">
        <v>8</v>
      </c>
      <c r="O166" s="6">
        <v>1</v>
      </c>
      <c r="P166">
        <v>5</v>
      </c>
      <c r="Q166">
        <v>3</v>
      </c>
      <c r="R166">
        <v>5</v>
      </c>
      <c r="S166">
        <v>3</v>
      </c>
      <c r="T166" s="2">
        <v>5</v>
      </c>
      <c r="U166" s="2">
        <v>3</v>
      </c>
    </row>
    <row r="167" spans="1:21" ht="12.75">
      <c r="A167">
        <v>31</v>
      </c>
      <c r="B167">
        <v>1</v>
      </c>
      <c r="C167" t="s">
        <v>92</v>
      </c>
      <c r="D167" t="s">
        <v>17</v>
      </c>
      <c r="E167" t="s">
        <v>17</v>
      </c>
      <c r="F167" t="s">
        <v>94</v>
      </c>
      <c r="G167" t="str">
        <f>HYPERLINK("http://www.ensembl.org/Cavia_porcellus/protview?peptide=ENSCPOP00000002164","P00000002164")</f>
        <v>P00000002164</v>
      </c>
      <c r="I167" s="2">
        <v>12.3</v>
      </c>
      <c r="J167" s="4">
        <v>432</v>
      </c>
      <c r="K167" s="4">
        <v>48526</v>
      </c>
      <c r="L167" t="s">
        <v>93</v>
      </c>
      <c r="M167" s="4">
        <v>8</v>
      </c>
      <c r="N167" s="4">
        <v>2</v>
      </c>
      <c r="O167" s="6">
        <v>0.25</v>
      </c>
      <c r="P167">
        <v>4</v>
      </c>
      <c r="Q167">
        <v>4</v>
      </c>
      <c r="R167">
        <v>1</v>
      </c>
      <c r="S167">
        <v>1</v>
      </c>
      <c r="T167" s="2">
        <v>2</v>
      </c>
      <c r="U167" s="2">
        <v>2.5</v>
      </c>
    </row>
    <row r="168" spans="1:21" ht="12.75">
      <c r="A168">
        <v>37</v>
      </c>
      <c r="B168">
        <v>1</v>
      </c>
      <c r="C168" t="s">
        <v>106</v>
      </c>
      <c r="D168" t="s">
        <v>17</v>
      </c>
      <c r="E168" t="s">
        <v>17</v>
      </c>
      <c r="F168" t="s">
        <v>17</v>
      </c>
      <c r="G168" t="str">
        <f>HYPERLINK("http://www.ensembl.org/Cavia_porcellus/protview?peptide=ENSCPOP00000002535","P00000002535")</f>
        <v>P00000002535</v>
      </c>
      <c r="I168" s="2">
        <v>27.9</v>
      </c>
      <c r="J168" s="4">
        <v>473</v>
      </c>
      <c r="K168" s="4">
        <v>51958</v>
      </c>
      <c r="L168" t="s">
        <v>107</v>
      </c>
      <c r="M168" s="4">
        <v>8</v>
      </c>
      <c r="N168" s="4">
        <v>8</v>
      </c>
      <c r="O168" s="6">
        <v>1</v>
      </c>
      <c r="P168">
        <v>5</v>
      </c>
      <c r="Q168">
        <v>3</v>
      </c>
      <c r="R168">
        <v>5</v>
      </c>
      <c r="S168">
        <v>3</v>
      </c>
      <c r="T168" s="2">
        <v>5</v>
      </c>
      <c r="U168" s="2">
        <v>3</v>
      </c>
    </row>
    <row r="169" spans="1:21" ht="12.75">
      <c r="A169">
        <v>41</v>
      </c>
      <c r="B169">
        <v>1</v>
      </c>
      <c r="C169" t="s">
        <v>116</v>
      </c>
      <c r="D169" t="s">
        <v>17</v>
      </c>
      <c r="E169" t="s">
        <v>17</v>
      </c>
      <c r="F169" t="s">
        <v>17</v>
      </c>
      <c r="G169" t="str">
        <f>HYPERLINK("http://www.ensembl.org/Cavia_porcellus/protview?peptide=ENSCPOP00000002926","P00000002926")</f>
        <v>P00000002926</v>
      </c>
      <c r="I169" s="2">
        <v>7.1</v>
      </c>
      <c r="J169" s="4">
        <v>877</v>
      </c>
      <c r="K169" s="4">
        <v>97327</v>
      </c>
      <c r="L169" t="s">
        <v>117</v>
      </c>
      <c r="M169" s="4">
        <v>8</v>
      </c>
      <c r="N169" s="4">
        <v>8</v>
      </c>
      <c r="O169" s="6">
        <v>1</v>
      </c>
      <c r="P169">
        <v>4</v>
      </c>
      <c r="Q169">
        <v>4</v>
      </c>
      <c r="R169">
        <v>4</v>
      </c>
      <c r="S169">
        <v>4</v>
      </c>
      <c r="T169" s="2">
        <v>4</v>
      </c>
      <c r="U169" s="2">
        <v>4</v>
      </c>
    </row>
    <row r="170" spans="1:21" ht="12.75">
      <c r="A170">
        <v>42</v>
      </c>
      <c r="B170">
        <v>1</v>
      </c>
      <c r="C170" t="s">
        <v>118</v>
      </c>
      <c r="D170" t="s">
        <v>17</v>
      </c>
      <c r="E170" t="s">
        <v>17</v>
      </c>
      <c r="F170" t="s">
        <v>17</v>
      </c>
      <c r="G170" t="str">
        <f>HYPERLINK("http://www.ensembl.org/Cavia_porcellus/protview?peptide=ENSCPOP00000002972","P00000002972")</f>
        <v>P00000002972</v>
      </c>
      <c r="I170" s="2">
        <v>29.8</v>
      </c>
      <c r="J170" s="4">
        <v>319</v>
      </c>
      <c r="K170" s="4">
        <v>35779</v>
      </c>
      <c r="L170" t="s">
        <v>119</v>
      </c>
      <c r="M170" s="4">
        <v>8</v>
      </c>
      <c r="N170" s="4">
        <v>8</v>
      </c>
      <c r="O170" s="6">
        <v>1</v>
      </c>
      <c r="P170">
        <v>3</v>
      </c>
      <c r="Q170">
        <v>5</v>
      </c>
      <c r="R170">
        <v>3</v>
      </c>
      <c r="S170">
        <v>5</v>
      </c>
      <c r="T170" s="2">
        <v>3</v>
      </c>
      <c r="U170" s="2">
        <v>5</v>
      </c>
    </row>
    <row r="171" spans="1:21" ht="12.75">
      <c r="A171">
        <v>53</v>
      </c>
      <c r="B171">
        <v>1</v>
      </c>
      <c r="C171" t="s">
        <v>142</v>
      </c>
      <c r="D171" t="s">
        <v>17</v>
      </c>
      <c r="E171" t="s">
        <v>17</v>
      </c>
      <c r="F171" t="s">
        <v>17</v>
      </c>
      <c r="G171" t="str">
        <f>HYPERLINK("http://www.ensembl.org/Cavia_porcellus/protview?peptide=ENSCPOP00000004127","P00000004127")</f>
        <v>P00000004127</v>
      </c>
      <c r="I171" s="2">
        <v>13.3</v>
      </c>
      <c r="J171" s="4">
        <v>475</v>
      </c>
      <c r="K171" s="4">
        <v>52875</v>
      </c>
      <c r="L171" t="s">
        <v>143</v>
      </c>
      <c r="M171" s="4">
        <v>8</v>
      </c>
      <c r="N171" s="4">
        <v>8</v>
      </c>
      <c r="O171" s="6">
        <v>1</v>
      </c>
      <c r="P171">
        <v>5</v>
      </c>
      <c r="Q171">
        <v>3</v>
      </c>
      <c r="R171">
        <v>5</v>
      </c>
      <c r="S171">
        <v>3</v>
      </c>
      <c r="T171" s="2">
        <v>5</v>
      </c>
      <c r="U171" s="2">
        <v>3</v>
      </c>
    </row>
    <row r="172" spans="1:21" ht="12.75">
      <c r="A172">
        <v>101</v>
      </c>
      <c r="B172">
        <v>1</v>
      </c>
      <c r="C172" t="s">
        <v>246</v>
      </c>
      <c r="D172" t="s">
        <v>17</v>
      </c>
      <c r="E172" t="s">
        <v>17</v>
      </c>
      <c r="F172" t="s">
        <v>248</v>
      </c>
      <c r="G172" t="str">
        <f>HYPERLINK("http://www.ensembl.org/Cavia_porcellus/protview?peptide=ENSCPOP00000008462","P00000008462")</f>
        <v>P00000008462</v>
      </c>
      <c r="I172" s="2">
        <v>16.2</v>
      </c>
      <c r="J172" s="4">
        <v>229</v>
      </c>
      <c r="K172" s="4">
        <v>27199</v>
      </c>
      <c r="L172" t="s">
        <v>247</v>
      </c>
      <c r="M172" s="4">
        <v>8</v>
      </c>
      <c r="N172" s="4">
        <v>3</v>
      </c>
      <c r="O172" s="6">
        <v>0.375</v>
      </c>
      <c r="P172">
        <v>4</v>
      </c>
      <c r="Q172">
        <v>4</v>
      </c>
      <c r="R172">
        <v>1</v>
      </c>
      <c r="S172">
        <v>2</v>
      </c>
      <c r="T172" s="2">
        <v>1.143</v>
      </c>
      <c r="U172" s="2">
        <v>2.19</v>
      </c>
    </row>
    <row r="173" spans="1:21" ht="12.75">
      <c r="A173">
        <v>188</v>
      </c>
      <c r="B173">
        <v>1</v>
      </c>
      <c r="C173" t="s">
        <v>446</v>
      </c>
      <c r="D173" t="s">
        <v>17</v>
      </c>
      <c r="E173" t="s">
        <v>17</v>
      </c>
      <c r="F173" t="s">
        <v>17</v>
      </c>
      <c r="G173" t="str">
        <f>HYPERLINK("http://www.ensembl.org/Cavia_porcellus/protview?peptide=ENSCPOP00000018806","P00000018806")</f>
        <v>P00000018806</v>
      </c>
      <c r="I173" s="2">
        <v>14.1</v>
      </c>
      <c r="J173" s="4">
        <v>461</v>
      </c>
      <c r="K173" s="4">
        <v>51389</v>
      </c>
      <c r="L173" t="s">
        <v>447</v>
      </c>
      <c r="M173" s="4">
        <v>8</v>
      </c>
      <c r="N173" s="4">
        <v>8</v>
      </c>
      <c r="O173" s="6">
        <v>1</v>
      </c>
      <c r="P173">
        <v>3</v>
      </c>
      <c r="Q173">
        <v>5</v>
      </c>
      <c r="R173">
        <v>3</v>
      </c>
      <c r="S173">
        <v>5</v>
      </c>
      <c r="T173" s="2">
        <v>3</v>
      </c>
      <c r="U173" s="2">
        <v>5</v>
      </c>
    </row>
    <row r="174" spans="1:21" ht="12.75">
      <c r="A174">
        <v>40</v>
      </c>
      <c r="B174">
        <v>1</v>
      </c>
      <c r="C174" t="s">
        <v>114</v>
      </c>
      <c r="D174" t="s">
        <v>17</v>
      </c>
      <c r="E174" t="s">
        <v>17</v>
      </c>
      <c r="F174" t="s">
        <v>17</v>
      </c>
      <c r="G174" t="str">
        <f>HYPERLINK("http://www.ensembl.org/Cavia_porcellus/protview?peptide=ENSCPOP00000002813","P00000002813")</f>
        <v>P00000002813</v>
      </c>
      <c r="I174" s="2">
        <v>22.4</v>
      </c>
      <c r="J174" s="4">
        <v>246</v>
      </c>
      <c r="K174" s="4">
        <v>27413</v>
      </c>
      <c r="L174" t="s">
        <v>115</v>
      </c>
      <c r="M174" s="4">
        <v>7</v>
      </c>
      <c r="N174" s="4">
        <v>7</v>
      </c>
      <c r="O174" s="6">
        <v>1</v>
      </c>
      <c r="P174">
        <v>5</v>
      </c>
      <c r="Q174">
        <v>2</v>
      </c>
      <c r="R174">
        <v>5</v>
      </c>
      <c r="S174">
        <v>2</v>
      </c>
      <c r="T174" s="2">
        <v>5</v>
      </c>
      <c r="U174" s="2">
        <v>2</v>
      </c>
    </row>
    <row r="175" spans="1:21" ht="12.75">
      <c r="A175">
        <v>64</v>
      </c>
      <c r="B175">
        <v>1</v>
      </c>
      <c r="C175" t="s">
        <v>164</v>
      </c>
      <c r="D175" t="s">
        <v>17</v>
      </c>
      <c r="E175" t="s">
        <v>17</v>
      </c>
      <c r="F175" t="s">
        <v>17</v>
      </c>
      <c r="G175" t="str">
        <f>HYPERLINK("http://www.ensembl.org/Cavia_porcellus/protview?peptide=ENSCPOP00000005101","P00000005101")</f>
        <v>P00000005101</v>
      </c>
      <c r="I175" s="2">
        <v>8.3</v>
      </c>
      <c r="J175" s="4">
        <v>768</v>
      </c>
      <c r="K175" s="4">
        <v>89127</v>
      </c>
      <c r="L175" t="s">
        <v>165</v>
      </c>
      <c r="M175" s="4">
        <v>7</v>
      </c>
      <c r="N175" s="4">
        <v>7</v>
      </c>
      <c r="O175" s="6">
        <v>1</v>
      </c>
      <c r="P175">
        <v>3</v>
      </c>
      <c r="Q175">
        <v>4</v>
      </c>
      <c r="R175">
        <v>3</v>
      </c>
      <c r="S175">
        <v>4</v>
      </c>
      <c r="T175" s="2">
        <v>3</v>
      </c>
      <c r="U175" s="2">
        <v>4</v>
      </c>
    </row>
    <row r="176" spans="1:21" ht="12.75">
      <c r="A176">
        <v>75</v>
      </c>
      <c r="B176">
        <v>1</v>
      </c>
      <c r="C176" t="s">
        <v>189</v>
      </c>
      <c r="D176" t="s">
        <v>17</v>
      </c>
      <c r="E176" t="s">
        <v>17</v>
      </c>
      <c r="F176" t="s">
        <v>17</v>
      </c>
      <c r="G176" t="str">
        <f>HYPERLINK("http://www.ensembl.org/Cavia_porcellus/protview?peptide=ENSCPOP00000005906","P00000005906")</f>
        <v>P00000005906</v>
      </c>
      <c r="I176" s="2">
        <v>7.8</v>
      </c>
      <c r="J176" s="4">
        <v>856</v>
      </c>
      <c r="K176" s="4">
        <v>96233</v>
      </c>
      <c r="L176" t="s">
        <v>190</v>
      </c>
      <c r="M176" s="4">
        <v>7</v>
      </c>
      <c r="N176" s="4">
        <v>7</v>
      </c>
      <c r="O176" s="6">
        <v>1</v>
      </c>
      <c r="P176">
        <v>4</v>
      </c>
      <c r="Q176">
        <v>3</v>
      </c>
      <c r="R176">
        <v>4</v>
      </c>
      <c r="S176">
        <v>3</v>
      </c>
      <c r="T176" s="2">
        <v>4</v>
      </c>
      <c r="U176" s="2">
        <v>3</v>
      </c>
    </row>
    <row r="177" spans="1:21" ht="12.75">
      <c r="A177">
        <v>88</v>
      </c>
      <c r="B177">
        <v>1</v>
      </c>
      <c r="C177" t="s">
        <v>219</v>
      </c>
      <c r="D177" t="s">
        <v>17</v>
      </c>
      <c r="E177" t="s">
        <v>17</v>
      </c>
      <c r="F177" t="s">
        <v>17</v>
      </c>
      <c r="G177" t="str">
        <f>HYPERLINK("http://www.ensembl.org/Cavia_porcellus/protview?peptide=ENSCPOP00000007058","P00000007058")</f>
        <v>P00000007058</v>
      </c>
      <c r="I177" s="2">
        <v>24.2</v>
      </c>
      <c r="J177" s="4">
        <v>277</v>
      </c>
      <c r="K177" s="4">
        <v>29987</v>
      </c>
      <c r="L177" t="s">
        <v>220</v>
      </c>
      <c r="M177" s="4">
        <v>7</v>
      </c>
      <c r="N177" s="4">
        <v>7</v>
      </c>
      <c r="O177" s="6">
        <v>1</v>
      </c>
      <c r="P177">
        <v>6</v>
      </c>
      <c r="Q177">
        <v>1</v>
      </c>
      <c r="R177">
        <v>6</v>
      </c>
      <c r="S177">
        <v>1</v>
      </c>
      <c r="T177" s="2">
        <v>6</v>
      </c>
      <c r="U177" s="2">
        <v>1</v>
      </c>
    </row>
    <row r="178" spans="1:21" ht="12.75">
      <c r="A178">
        <v>100</v>
      </c>
      <c r="B178">
        <v>1</v>
      </c>
      <c r="C178" t="s">
        <v>244</v>
      </c>
      <c r="D178" t="s">
        <v>17</v>
      </c>
      <c r="E178" t="s">
        <v>17</v>
      </c>
      <c r="F178" t="s">
        <v>17</v>
      </c>
      <c r="G178" t="str">
        <f>HYPERLINK("http://www.ensembl.org/Cavia_porcellus/protview?peptide=ENSCPOP00000008445","P00000008445")</f>
        <v>P00000008445</v>
      </c>
      <c r="I178" s="2">
        <v>8.4</v>
      </c>
      <c r="J178" s="4">
        <v>550</v>
      </c>
      <c r="K178" s="4">
        <v>59827</v>
      </c>
      <c r="L178" t="s">
        <v>245</v>
      </c>
      <c r="M178" s="4">
        <v>7</v>
      </c>
      <c r="N178" s="4">
        <v>7</v>
      </c>
      <c r="O178" s="6">
        <v>1</v>
      </c>
      <c r="P178">
        <v>1</v>
      </c>
      <c r="Q178">
        <v>6</v>
      </c>
      <c r="R178">
        <v>1</v>
      </c>
      <c r="S178">
        <v>6</v>
      </c>
      <c r="T178" s="2">
        <v>1</v>
      </c>
      <c r="U178" s="2">
        <v>6</v>
      </c>
    </row>
    <row r="179" spans="1:21" ht="12.75">
      <c r="A179">
        <v>128</v>
      </c>
      <c r="B179">
        <v>1</v>
      </c>
      <c r="C179" t="s">
        <v>310</v>
      </c>
      <c r="D179" t="s">
        <v>17</v>
      </c>
      <c r="E179" t="s">
        <v>17</v>
      </c>
      <c r="F179" t="s">
        <v>17</v>
      </c>
      <c r="G179" t="str">
        <f>HYPERLINK("http://www.ensembl.org/Cavia_porcellus/protview?peptide=ENSCPOP00000011099","P00000011099")</f>
        <v>P00000011099</v>
      </c>
      <c r="I179" s="2">
        <v>8.3</v>
      </c>
      <c r="J179" s="4">
        <v>836</v>
      </c>
      <c r="K179" s="4">
        <v>93387</v>
      </c>
      <c r="L179" t="s">
        <v>311</v>
      </c>
      <c r="M179" s="4">
        <v>7</v>
      </c>
      <c r="N179" s="4">
        <v>7</v>
      </c>
      <c r="O179" s="6">
        <v>1</v>
      </c>
      <c r="P179">
        <v>4</v>
      </c>
      <c r="Q179">
        <v>3</v>
      </c>
      <c r="R179">
        <v>4</v>
      </c>
      <c r="S179">
        <v>3</v>
      </c>
      <c r="T179" s="2">
        <v>4</v>
      </c>
      <c r="U179" s="2">
        <v>3</v>
      </c>
    </row>
    <row r="180" spans="1:21" ht="12.75">
      <c r="A180">
        <v>131</v>
      </c>
      <c r="B180">
        <v>1</v>
      </c>
      <c r="C180" t="s">
        <v>316</v>
      </c>
      <c r="D180" t="s">
        <v>17</v>
      </c>
      <c r="E180" t="s">
        <v>17</v>
      </c>
      <c r="F180" t="s">
        <v>17</v>
      </c>
      <c r="G180" t="str">
        <f>HYPERLINK("http://www.ensembl.org/Cavia_porcellus/protview?peptide=ENSCPOP00000011185","P00000011185")</f>
        <v>P00000011185</v>
      </c>
      <c r="I180" s="2">
        <v>20</v>
      </c>
      <c r="J180" s="4">
        <v>275</v>
      </c>
      <c r="K180" s="4">
        <v>31087</v>
      </c>
      <c r="L180" t="s">
        <v>317</v>
      </c>
      <c r="M180" s="4">
        <v>7</v>
      </c>
      <c r="N180" s="4">
        <v>7</v>
      </c>
      <c r="O180" s="6">
        <v>1</v>
      </c>
      <c r="P180">
        <v>3</v>
      </c>
      <c r="Q180">
        <v>4</v>
      </c>
      <c r="R180">
        <v>3</v>
      </c>
      <c r="S180">
        <v>4</v>
      </c>
      <c r="T180" s="2">
        <v>3</v>
      </c>
      <c r="U180" s="2">
        <v>4</v>
      </c>
    </row>
    <row r="181" spans="1:21" ht="12.75">
      <c r="A181">
        <v>173</v>
      </c>
      <c r="B181">
        <v>1</v>
      </c>
      <c r="C181" t="s">
        <v>411</v>
      </c>
      <c r="D181" t="s">
        <v>17</v>
      </c>
      <c r="E181" t="s">
        <v>17</v>
      </c>
      <c r="F181" t="s">
        <v>17</v>
      </c>
      <c r="G181" t="str">
        <f>HYPERLINK("http://www.ensembl.org/Cavia_porcellus/protview?peptide=ENSCPOP00000016279","P00000016279")</f>
        <v>P00000016279</v>
      </c>
      <c r="I181" s="2">
        <v>8.1</v>
      </c>
      <c r="J181" s="4">
        <v>580</v>
      </c>
      <c r="K181" s="4">
        <v>63654</v>
      </c>
      <c r="L181" t="s">
        <v>412</v>
      </c>
      <c r="M181" s="4">
        <v>7</v>
      </c>
      <c r="N181" s="4">
        <v>7</v>
      </c>
      <c r="O181" s="6">
        <v>1</v>
      </c>
      <c r="P181">
        <v>2</v>
      </c>
      <c r="Q181">
        <v>5</v>
      </c>
      <c r="R181">
        <v>2</v>
      </c>
      <c r="S181">
        <v>5</v>
      </c>
      <c r="T181" s="2">
        <v>2</v>
      </c>
      <c r="U181" s="2">
        <v>5</v>
      </c>
    </row>
    <row r="182" spans="1:21" ht="12.75">
      <c r="A182">
        <v>191</v>
      </c>
      <c r="B182">
        <v>1</v>
      </c>
      <c r="C182" t="s">
        <v>452</v>
      </c>
      <c r="D182" t="s">
        <v>17</v>
      </c>
      <c r="E182" t="s">
        <v>17</v>
      </c>
      <c r="F182" t="s">
        <v>17</v>
      </c>
      <c r="G182" t="str">
        <f>HYPERLINK("http://www.ensembl.org/Cavia_porcellus/protview?peptide=ENSCPOP00000019378","P00000019378")</f>
        <v>P00000019378</v>
      </c>
      <c r="I182" s="2">
        <v>20</v>
      </c>
      <c r="J182" s="4">
        <v>205</v>
      </c>
      <c r="K182" s="4">
        <v>22947</v>
      </c>
      <c r="L182" t="s">
        <v>453</v>
      </c>
      <c r="M182" s="4">
        <v>7</v>
      </c>
      <c r="N182" s="4">
        <v>7</v>
      </c>
      <c r="O182" s="6">
        <v>1</v>
      </c>
      <c r="P182">
        <v>4</v>
      </c>
      <c r="Q182">
        <v>3</v>
      </c>
      <c r="R182">
        <v>4</v>
      </c>
      <c r="S182">
        <v>3</v>
      </c>
      <c r="T182" s="2">
        <v>4</v>
      </c>
      <c r="U182" s="2">
        <v>3</v>
      </c>
    </row>
    <row r="183" spans="1:21" ht="12.75">
      <c r="A183">
        <v>209</v>
      </c>
      <c r="B183">
        <v>1</v>
      </c>
      <c r="C183" t="s">
        <v>485</v>
      </c>
      <c r="D183" t="s">
        <v>17</v>
      </c>
      <c r="E183" t="s">
        <v>17</v>
      </c>
      <c r="F183" t="s">
        <v>17</v>
      </c>
      <c r="G183" t="s">
        <v>17</v>
      </c>
      <c r="H183" t="s">
        <v>477</v>
      </c>
      <c r="I183" s="2">
        <v>4</v>
      </c>
      <c r="J183" s="4">
        <v>2542</v>
      </c>
      <c r="K183" s="4">
        <v>271459</v>
      </c>
      <c r="L183" t="s">
        <v>478</v>
      </c>
      <c r="M183" s="4">
        <v>7</v>
      </c>
      <c r="N183" s="4">
        <v>7</v>
      </c>
      <c r="O183" s="6">
        <v>1</v>
      </c>
      <c r="P183">
        <v>5</v>
      </c>
      <c r="Q183">
        <v>2</v>
      </c>
      <c r="R183">
        <v>5</v>
      </c>
      <c r="S183">
        <v>2</v>
      </c>
      <c r="T183" s="2">
        <v>5</v>
      </c>
      <c r="U183" s="2">
        <v>2</v>
      </c>
    </row>
    <row r="184" spans="1:21" ht="12.75">
      <c r="A184">
        <v>214</v>
      </c>
      <c r="B184">
        <v>1</v>
      </c>
      <c r="C184" t="s">
        <v>490</v>
      </c>
      <c r="D184" t="s">
        <v>17</v>
      </c>
      <c r="E184" t="s">
        <v>17</v>
      </c>
      <c r="F184" t="s">
        <v>17</v>
      </c>
      <c r="G184" t="s">
        <v>17</v>
      </c>
      <c r="H184" t="s">
        <v>477</v>
      </c>
      <c r="I184" s="2">
        <v>2.5</v>
      </c>
      <c r="J184" s="4">
        <v>2650</v>
      </c>
      <c r="K184" s="4">
        <v>302607</v>
      </c>
      <c r="L184" t="s">
        <v>478</v>
      </c>
      <c r="M184" s="4">
        <v>7</v>
      </c>
      <c r="N184" s="4">
        <v>7</v>
      </c>
      <c r="O184" s="6">
        <v>1</v>
      </c>
      <c r="P184">
        <v>3</v>
      </c>
      <c r="Q184">
        <v>4</v>
      </c>
      <c r="R184">
        <v>3</v>
      </c>
      <c r="S184">
        <v>4</v>
      </c>
      <c r="T184" s="2">
        <v>3</v>
      </c>
      <c r="U184" s="2">
        <v>4</v>
      </c>
    </row>
    <row r="185" spans="1:21" ht="12.75">
      <c r="A185">
        <v>43</v>
      </c>
      <c r="B185">
        <v>1</v>
      </c>
      <c r="C185" t="s">
        <v>120</v>
      </c>
      <c r="D185" t="s">
        <v>17</v>
      </c>
      <c r="E185" t="s">
        <v>17</v>
      </c>
      <c r="F185" t="s">
        <v>17</v>
      </c>
      <c r="G185" t="str">
        <f>HYPERLINK("http://www.ensembl.org/Cavia_porcellus/protview?peptide=ENSCPOP00000002993","P00000002993")</f>
        <v>P00000002993</v>
      </c>
      <c r="I185" s="2">
        <v>10.2</v>
      </c>
      <c r="J185" s="4">
        <v>315</v>
      </c>
      <c r="K185" s="4">
        <v>36109</v>
      </c>
      <c r="L185" t="s">
        <v>121</v>
      </c>
      <c r="M185" s="4">
        <v>6</v>
      </c>
      <c r="N185" s="4">
        <v>6</v>
      </c>
      <c r="O185" s="6">
        <v>1</v>
      </c>
      <c r="P185">
        <v>3</v>
      </c>
      <c r="Q185">
        <v>3</v>
      </c>
      <c r="R185">
        <v>3</v>
      </c>
      <c r="S185">
        <v>3</v>
      </c>
      <c r="T185" s="2">
        <v>3</v>
      </c>
      <c r="U185" s="2">
        <v>3</v>
      </c>
    </row>
    <row r="186" spans="1:21" ht="12.75">
      <c r="A186">
        <v>44</v>
      </c>
      <c r="B186">
        <v>1</v>
      </c>
      <c r="C186" t="s">
        <v>122</v>
      </c>
      <c r="D186" t="s">
        <v>17</v>
      </c>
      <c r="E186" t="s">
        <v>17</v>
      </c>
      <c r="F186" t="s">
        <v>124</v>
      </c>
      <c r="G186" t="str">
        <f>HYPERLINK("http://www.ensembl.org/Cavia_porcellus/protview?peptide=ENSCPOP00000003075","P00000003075")</f>
        <v>P00000003075</v>
      </c>
      <c r="I186" s="2">
        <v>8.8</v>
      </c>
      <c r="J186" s="4">
        <v>565</v>
      </c>
      <c r="K186" s="4">
        <v>66393</v>
      </c>
      <c r="L186" t="s">
        <v>123</v>
      </c>
      <c r="M186" s="4">
        <v>6</v>
      </c>
      <c r="N186" s="4">
        <v>1</v>
      </c>
      <c r="O186" s="6">
        <v>0.167</v>
      </c>
      <c r="P186">
        <v>3</v>
      </c>
      <c r="Q186">
        <v>3</v>
      </c>
      <c r="R186">
        <v>1</v>
      </c>
      <c r="S186">
        <v>0</v>
      </c>
      <c r="T186" s="2">
        <v>1.25</v>
      </c>
      <c r="U186" s="2">
        <v>0</v>
      </c>
    </row>
    <row r="187" spans="1:21" ht="12.75">
      <c r="A187">
        <v>59</v>
      </c>
      <c r="B187">
        <v>1</v>
      </c>
      <c r="C187" t="s">
        <v>154</v>
      </c>
      <c r="D187" t="s">
        <v>17</v>
      </c>
      <c r="E187" t="s">
        <v>17</v>
      </c>
      <c r="F187" t="s">
        <v>17</v>
      </c>
      <c r="G187" t="str">
        <f>HYPERLINK("http://www.ensembl.org/Cavia_porcellus/protview?peptide=ENSCPOP00000004550","P00000004550")</f>
        <v>P00000004550</v>
      </c>
      <c r="I187" s="2">
        <v>6.2</v>
      </c>
      <c r="J187" s="4">
        <v>1134</v>
      </c>
      <c r="K187" s="4">
        <v>123804</v>
      </c>
      <c r="L187" t="s">
        <v>155</v>
      </c>
      <c r="M187" s="4">
        <v>6</v>
      </c>
      <c r="N187" s="4">
        <v>6</v>
      </c>
      <c r="O187" s="6">
        <v>1</v>
      </c>
      <c r="P187">
        <v>2</v>
      </c>
      <c r="Q187">
        <v>4</v>
      </c>
      <c r="R187">
        <v>2</v>
      </c>
      <c r="S187">
        <v>4</v>
      </c>
      <c r="T187" s="2">
        <v>2</v>
      </c>
      <c r="U187" s="2">
        <v>4</v>
      </c>
    </row>
    <row r="188" spans="1:21" ht="12.75">
      <c r="A188">
        <v>85</v>
      </c>
      <c r="B188">
        <v>1</v>
      </c>
      <c r="C188" t="s">
        <v>212</v>
      </c>
      <c r="D188" t="s">
        <v>17</v>
      </c>
      <c r="E188" t="s">
        <v>17</v>
      </c>
      <c r="F188" t="s">
        <v>17</v>
      </c>
      <c r="G188" t="str">
        <f>HYPERLINK("http://www.ensembl.org/Cavia_porcellus/protview?peptide=ENSCPOP00000006916","P00000006916")</f>
        <v>P00000006916</v>
      </c>
      <c r="I188" s="2">
        <v>30.4</v>
      </c>
      <c r="J188" s="4">
        <v>289</v>
      </c>
      <c r="K188" s="4">
        <v>33375</v>
      </c>
      <c r="L188" t="s">
        <v>213</v>
      </c>
      <c r="M188" s="4">
        <v>6</v>
      </c>
      <c r="N188" s="4">
        <v>6</v>
      </c>
      <c r="O188" s="6">
        <v>1</v>
      </c>
      <c r="P188">
        <v>3</v>
      </c>
      <c r="Q188">
        <v>3</v>
      </c>
      <c r="R188">
        <v>3</v>
      </c>
      <c r="S188">
        <v>3</v>
      </c>
      <c r="T188" s="2">
        <v>3</v>
      </c>
      <c r="U188" s="2">
        <v>3</v>
      </c>
    </row>
    <row r="189" spans="1:21" ht="12.75">
      <c r="A189">
        <v>184</v>
      </c>
      <c r="B189">
        <v>1</v>
      </c>
      <c r="C189" t="s">
        <v>438</v>
      </c>
      <c r="D189" t="s">
        <v>17</v>
      </c>
      <c r="E189" t="s">
        <v>17</v>
      </c>
      <c r="F189" t="s">
        <v>17</v>
      </c>
      <c r="G189" t="str">
        <f>HYPERLINK("http://www.ensembl.org/Cavia_porcellus/protview?peptide=ENSCPOP00000018331","P00000018331")</f>
        <v>P00000018331</v>
      </c>
      <c r="I189" s="2">
        <v>21.5</v>
      </c>
      <c r="J189" s="4">
        <v>261</v>
      </c>
      <c r="K189" s="4">
        <v>29508</v>
      </c>
      <c r="L189" t="s">
        <v>439</v>
      </c>
      <c r="M189" s="4">
        <v>6</v>
      </c>
      <c r="N189" s="4">
        <v>6</v>
      </c>
      <c r="O189" s="6">
        <v>1</v>
      </c>
      <c r="P189">
        <v>5</v>
      </c>
      <c r="Q189">
        <v>1</v>
      </c>
      <c r="R189">
        <v>5</v>
      </c>
      <c r="S189">
        <v>1</v>
      </c>
      <c r="T189" s="2">
        <v>5</v>
      </c>
      <c r="U189" s="2">
        <v>1</v>
      </c>
    </row>
    <row r="190" spans="1:21" ht="12.75">
      <c r="A190">
        <v>15</v>
      </c>
      <c r="B190">
        <v>1</v>
      </c>
      <c r="C190" t="s">
        <v>57</v>
      </c>
      <c r="D190" t="s">
        <v>17</v>
      </c>
      <c r="E190" t="s">
        <v>17</v>
      </c>
      <c r="F190" t="s">
        <v>59</v>
      </c>
      <c r="G190" t="str">
        <f>HYPERLINK("http://www.ensembl.org/Cavia_porcellus/protview?peptide=ENSCPOP00000000368","P00000000368")</f>
        <v>P00000000368</v>
      </c>
      <c r="I190" s="2">
        <v>15.8</v>
      </c>
      <c r="J190" s="4">
        <v>349</v>
      </c>
      <c r="K190" s="4">
        <v>37601</v>
      </c>
      <c r="L190" t="s">
        <v>58</v>
      </c>
      <c r="M190" s="4">
        <v>5</v>
      </c>
      <c r="N190" s="4">
        <v>4</v>
      </c>
      <c r="O190" s="6">
        <v>0.8</v>
      </c>
      <c r="P190">
        <v>3</v>
      </c>
      <c r="Q190">
        <v>2</v>
      </c>
      <c r="R190">
        <v>2</v>
      </c>
      <c r="S190">
        <v>2</v>
      </c>
      <c r="T190" s="2">
        <v>2.048</v>
      </c>
      <c r="U190" s="2">
        <v>2</v>
      </c>
    </row>
    <row r="191" spans="1:21" ht="12.75">
      <c r="A191">
        <v>16</v>
      </c>
      <c r="B191">
        <v>1</v>
      </c>
      <c r="C191" t="s">
        <v>60</v>
      </c>
      <c r="D191" t="s">
        <v>17</v>
      </c>
      <c r="E191" t="s">
        <v>17</v>
      </c>
      <c r="F191" t="s">
        <v>17</v>
      </c>
      <c r="G191" t="str">
        <f>HYPERLINK("http://www.ensembl.org/Cavia_porcellus/protview?peptide=ENSCPOP00000000373","P00000000373")</f>
        <v>P00000000373</v>
      </c>
      <c r="I191" s="2">
        <v>11.2</v>
      </c>
      <c r="J191" s="4">
        <v>259</v>
      </c>
      <c r="K191" s="4">
        <v>29966</v>
      </c>
      <c r="L191" t="s">
        <v>61</v>
      </c>
      <c r="M191" s="4">
        <v>5</v>
      </c>
      <c r="N191" s="4">
        <v>5</v>
      </c>
      <c r="O191" s="6">
        <v>1</v>
      </c>
      <c r="P191">
        <v>4</v>
      </c>
      <c r="Q191">
        <v>1</v>
      </c>
      <c r="R191">
        <v>4</v>
      </c>
      <c r="S191">
        <v>1</v>
      </c>
      <c r="T191" s="2">
        <v>4</v>
      </c>
      <c r="U191" s="2">
        <v>1</v>
      </c>
    </row>
    <row r="192" spans="1:21" ht="12.75">
      <c r="A192">
        <v>65</v>
      </c>
      <c r="B192">
        <v>1</v>
      </c>
      <c r="C192" t="s">
        <v>166</v>
      </c>
      <c r="D192" t="s">
        <v>17</v>
      </c>
      <c r="E192" t="s">
        <v>17</v>
      </c>
      <c r="F192" t="s">
        <v>17</v>
      </c>
      <c r="G192" t="str">
        <f>HYPERLINK("http://www.ensembl.org/Cavia_porcellus/protview?peptide=ENSCPOP00000005182","P00000005182")</f>
        <v>P00000005182</v>
      </c>
      <c r="I192" s="2">
        <v>12.3</v>
      </c>
      <c r="J192" s="4">
        <v>464</v>
      </c>
      <c r="K192" s="4">
        <v>50574</v>
      </c>
      <c r="L192" t="s">
        <v>167</v>
      </c>
      <c r="M192" s="4">
        <v>5</v>
      </c>
      <c r="N192" s="4">
        <v>5</v>
      </c>
      <c r="O192" s="6">
        <v>1</v>
      </c>
      <c r="P192">
        <v>1</v>
      </c>
      <c r="Q192">
        <v>4</v>
      </c>
      <c r="R192">
        <v>1</v>
      </c>
      <c r="S192">
        <v>4</v>
      </c>
      <c r="T192" s="2">
        <v>1</v>
      </c>
      <c r="U192" s="2">
        <v>4</v>
      </c>
    </row>
    <row r="193" spans="1:21" ht="12.75">
      <c r="A193">
        <v>81</v>
      </c>
      <c r="B193">
        <v>1</v>
      </c>
      <c r="C193" t="s">
        <v>202</v>
      </c>
      <c r="D193" t="s">
        <v>17</v>
      </c>
      <c r="E193" t="s">
        <v>17</v>
      </c>
      <c r="F193" t="s">
        <v>124</v>
      </c>
      <c r="G193" t="str">
        <f>HYPERLINK("http://www.ensembl.org/Cavia_porcellus/protview?peptide=ENSCPOP00000006403","P00000006403")</f>
        <v>P00000006403</v>
      </c>
      <c r="I193" s="2">
        <v>5.6</v>
      </c>
      <c r="J193" s="4">
        <v>571</v>
      </c>
      <c r="K193" s="4">
        <v>66941</v>
      </c>
      <c r="L193" t="s">
        <v>203</v>
      </c>
      <c r="M193" s="4">
        <v>5</v>
      </c>
      <c r="N193" s="4">
        <v>1</v>
      </c>
      <c r="O193" s="6">
        <v>0.2</v>
      </c>
      <c r="P193">
        <v>2</v>
      </c>
      <c r="Q193">
        <v>3</v>
      </c>
      <c r="R193">
        <v>0</v>
      </c>
      <c r="S193">
        <v>1</v>
      </c>
      <c r="T193" s="2">
        <v>0</v>
      </c>
      <c r="U193" s="2">
        <v>1.286</v>
      </c>
    </row>
    <row r="194" spans="1:21" ht="12.75">
      <c r="A194">
        <v>83</v>
      </c>
      <c r="B194">
        <v>1</v>
      </c>
      <c r="C194" t="s">
        <v>207</v>
      </c>
      <c r="D194" t="s">
        <v>17</v>
      </c>
      <c r="E194" t="s">
        <v>17</v>
      </c>
      <c r="F194" t="s">
        <v>17</v>
      </c>
      <c r="G194" t="str">
        <f>HYPERLINK("http://www.ensembl.org/Cavia_porcellus/protview?peptide=ENSCPOP00000006535","P00000006535")</f>
        <v>P00000006535</v>
      </c>
      <c r="I194" s="2">
        <v>4.9</v>
      </c>
      <c r="J194" s="4">
        <v>859</v>
      </c>
      <c r="K194" s="4">
        <v>96767</v>
      </c>
      <c r="L194" t="s">
        <v>208</v>
      </c>
      <c r="M194" s="4">
        <v>5</v>
      </c>
      <c r="N194" s="4">
        <v>5</v>
      </c>
      <c r="O194" s="6">
        <v>1</v>
      </c>
      <c r="P194">
        <v>3</v>
      </c>
      <c r="Q194">
        <v>2</v>
      </c>
      <c r="R194">
        <v>3</v>
      </c>
      <c r="S194">
        <v>2</v>
      </c>
      <c r="T194" s="2">
        <v>3</v>
      </c>
      <c r="U194" s="2">
        <v>2</v>
      </c>
    </row>
    <row r="195" spans="1:21" ht="12.75">
      <c r="A195">
        <v>104</v>
      </c>
      <c r="B195">
        <v>1</v>
      </c>
      <c r="C195" t="s">
        <v>526</v>
      </c>
      <c r="D195" t="s">
        <v>527</v>
      </c>
      <c r="E195" t="s">
        <v>17</v>
      </c>
      <c r="F195" t="s">
        <v>17</v>
      </c>
      <c r="G195" t="str">
        <f>HYPERLINK("http://www.ensembl.org/Cavia_porcellus/protview?peptide=ENSCPOP00000008705","P00000008705")</f>
        <v>P00000008705</v>
      </c>
      <c r="I195" s="2">
        <v>9.7</v>
      </c>
      <c r="J195" s="4">
        <v>351</v>
      </c>
      <c r="K195" s="4">
        <v>41029</v>
      </c>
      <c r="L195" t="s">
        <v>254</v>
      </c>
      <c r="M195" s="4">
        <v>5</v>
      </c>
      <c r="N195" s="4">
        <v>5</v>
      </c>
      <c r="O195" s="6">
        <v>1</v>
      </c>
      <c r="P195">
        <v>2</v>
      </c>
      <c r="Q195">
        <v>3</v>
      </c>
      <c r="R195">
        <v>2</v>
      </c>
      <c r="S195">
        <v>3</v>
      </c>
      <c r="T195" s="2">
        <v>2</v>
      </c>
      <c r="U195" s="2">
        <v>3</v>
      </c>
    </row>
    <row r="196" spans="1:21" ht="12.75">
      <c r="A196">
        <v>111</v>
      </c>
      <c r="B196">
        <v>1</v>
      </c>
      <c r="C196" t="s">
        <v>271</v>
      </c>
      <c r="D196" t="s">
        <v>17</v>
      </c>
      <c r="E196" t="s">
        <v>17</v>
      </c>
      <c r="F196" t="s">
        <v>17</v>
      </c>
      <c r="G196" t="str">
        <f>HYPERLINK("http://www.ensembl.org/Cavia_porcellus/protview?peptide=ENSCPOP00000009730","P00000009730")</f>
        <v>P00000009730</v>
      </c>
      <c r="I196" s="2">
        <v>10.6</v>
      </c>
      <c r="J196" s="4">
        <v>423</v>
      </c>
      <c r="K196" s="4">
        <v>46467</v>
      </c>
      <c r="L196" t="s">
        <v>272</v>
      </c>
      <c r="M196" s="4">
        <v>5</v>
      </c>
      <c r="N196" s="4">
        <v>5</v>
      </c>
      <c r="O196" s="6">
        <v>1</v>
      </c>
      <c r="P196">
        <v>4</v>
      </c>
      <c r="Q196">
        <v>1</v>
      </c>
      <c r="R196">
        <v>4</v>
      </c>
      <c r="S196">
        <v>1</v>
      </c>
      <c r="T196" s="2">
        <v>4</v>
      </c>
      <c r="U196" s="2">
        <v>1</v>
      </c>
    </row>
    <row r="197" spans="1:21" ht="12.75">
      <c r="A197">
        <v>116</v>
      </c>
      <c r="B197">
        <v>1</v>
      </c>
      <c r="C197" t="s">
        <v>281</v>
      </c>
      <c r="D197" t="s">
        <v>17</v>
      </c>
      <c r="E197" t="s">
        <v>17</v>
      </c>
      <c r="F197" t="s">
        <v>17</v>
      </c>
      <c r="G197" t="str">
        <f>HYPERLINK("http://www.ensembl.org/Cavia_porcellus/protview?peptide=ENSCPOP00000010055","P00000010055")</f>
        <v>P00000010055</v>
      </c>
      <c r="I197" s="2">
        <v>9.3</v>
      </c>
      <c r="J197" s="4">
        <v>408</v>
      </c>
      <c r="K197" s="4">
        <v>46490</v>
      </c>
      <c r="L197" t="s">
        <v>282</v>
      </c>
      <c r="M197" s="4">
        <v>5</v>
      </c>
      <c r="N197" s="4">
        <v>5</v>
      </c>
      <c r="O197" s="6">
        <v>1</v>
      </c>
      <c r="P197">
        <v>3</v>
      </c>
      <c r="Q197">
        <v>2</v>
      </c>
      <c r="R197">
        <v>3</v>
      </c>
      <c r="S197">
        <v>2</v>
      </c>
      <c r="T197" s="2">
        <v>3</v>
      </c>
      <c r="U197" s="2">
        <v>2</v>
      </c>
    </row>
    <row r="198" spans="1:21" ht="12.75">
      <c r="A198">
        <v>143</v>
      </c>
      <c r="B198">
        <v>1</v>
      </c>
      <c r="C198" t="s">
        <v>343</v>
      </c>
      <c r="D198" t="s">
        <v>17</v>
      </c>
      <c r="E198" t="s">
        <v>17</v>
      </c>
      <c r="F198" t="s">
        <v>17</v>
      </c>
      <c r="G198" t="str">
        <f>HYPERLINK("http://www.ensembl.org/Cavia_porcellus/protview?peptide=ENSCPOP00000012254","P00000012254")</f>
        <v>P00000012254</v>
      </c>
      <c r="I198" s="2">
        <v>6.9</v>
      </c>
      <c r="J198" s="4">
        <v>592</v>
      </c>
      <c r="K198" s="4">
        <v>66271</v>
      </c>
      <c r="L198" t="s">
        <v>344</v>
      </c>
      <c r="M198" s="4">
        <v>5</v>
      </c>
      <c r="N198" s="4">
        <v>5</v>
      </c>
      <c r="O198" s="6">
        <v>1</v>
      </c>
      <c r="P198">
        <v>3</v>
      </c>
      <c r="Q198">
        <v>2</v>
      </c>
      <c r="R198">
        <v>3</v>
      </c>
      <c r="S198">
        <v>2</v>
      </c>
      <c r="T198" s="2">
        <v>3</v>
      </c>
      <c r="U198" s="2">
        <v>2</v>
      </c>
    </row>
    <row r="199" spans="1:21" ht="12.75">
      <c r="A199">
        <v>150</v>
      </c>
      <c r="B199">
        <v>1</v>
      </c>
      <c r="C199" t="s">
        <v>358</v>
      </c>
      <c r="D199" t="s">
        <v>17</v>
      </c>
      <c r="E199" t="s">
        <v>17</v>
      </c>
      <c r="F199" t="s">
        <v>17</v>
      </c>
      <c r="G199" t="str">
        <f>HYPERLINK("http://www.ensembl.org/Cavia_porcellus/protview?peptide=ENSCPOP00000012764","P00000012764")</f>
        <v>P00000012764</v>
      </c>
      <c r="I199" s="2">
        <v>19.8</v>
      </c>
      <c r="J199" s="4">
        <v>247</v>
      </c>
      <c r="K199" s="4">
        <v>27841</v>
      </c>
      <c r="L199" t="s">
        <v>359</v>
      </c>
      <c r="M199" s="4">
        <v>5</v>
      </c>
      <c r="N199" s="4">
        <v>5</v>
      </c>
      <c r="O199" s="6">
        <v>1</v>
      </c>
      <c r="P199">
        <v>5</v>
      </c>
      <c r="Q199">
        <v>0</v>
      </c>
      <c r="R199">
        <v>5</v>
      </c>
      <c r="S199">
        <v>0</v>
      </c>
      <c r="T199" s="2">
        <v>5</v>
      </c>
      <c r="U199" s="2">
        <v>0</v>
      </c>
    </row>
    <row r="200" spans="1:21" ht="12.75">
      <c r="A200">
        <v>162</v>
      </c>
      <c r="B200">
        <v>1</v>
      </c>
      <c r="C200" t="s">
        <v>384</v>
      </c>
      <c r="D200" t="s">
        <v>17</v>
      </c>
      <c r="E200" t="s">
        <v>17</v>
      </c>
      <c r="F200" t="s">
        <v>17</v>
      </c>
      <c r="G200" t="str">
        <f>HYPERLINK("http://www.ensembl.org/Cavia_porcellus/protview?peptide=ENSCPOP00000014456","P00000014456")</f>
        <v>P00000014456</v>
      </c>
      <c r="I200" s="2">
        <v>19.6</v>
      </c>
      <c r="J200" s="4">
        <v>357</v>
      </c>
      <c r="K200" s="4">
        <v>38033</v>
      </c>
      <c r="L200" t="s">
        <v>385</v>
      </c>
      <c r="M200" s="4">
        <v>5</v>
      </c>
      <c r="N200" s="4">
        <v>5</v>
      </c>
      <c r="O200" s="6">
        <v>1</v>
      </c>
      <c r="P200">
        <v>4</v>
      </c>
      <c r="Q200">
        <v>1</v>
      </c>
      <c r="R200">
        <v>4</v>
      </c>
      <c r="S200">
        <v>1</v>
      </c>
      <c r="T200" s="2">
        <v>4</v>
      </c>
      <c r="U200" s="2">
        <v>1</v>
      </c>
    </row>
    <row r="201" spans="1:21" ht="12.75">
      <c r="A201">
        <v>204</v>
      </c>
      <c r="B201">
        <v>1</v>
      </c>
      <c r="C201" t="s">
        <v>480</v>
      </c>
      <c r="D201" t="s">
        <v>17</v>
      </c>
      <c r="E201" t="s">
        <v>17</v>
      </c>
      <c r="F201" t="s">
        <v>17</v>
      </c>
      <c r="G201" t="s">
        <v>17</v>
      </c>
      <c r="H201" t="s">
        <v>477</v>
      </c>
      <c r="I201" s="2">
        <v>12.7</v>
      </c>
      <c r="J201" s="4">
        <v>377</v>
      </c>
      <c r="K201" s="4">
        <v>42020</v>
      </c>
      <c r="L201" t="s">
        <v>478</v>
      </c>
      <c r="M201" s="4">
        <v>5</v>
      </c>
      <c r="N201" s="4">
        <v>5</v>
      </c>
      <c r="O201" s="6">
        <v>1</v>
      </c>
      <c r="P201">
        <v>5</v>
      </c>
      <c r="Q201">
        <v>0</v>
      </c>
      <c r="R201">
        <v>5</v>
      </c>
      <c r="S201">
        <v>0</v>
      </c>
      <c r="T201" s="2">
        <v>5</v>
      </c>
      <c r="U201" s="2">
        <v>0</v>
      </c>
    </row>
    <row r="202" spans="1:21" ht="12.75">
      <c r="A202">
        <v>206</v>
      </c>
      <c r="B202">
        <v>1</v>
      </c>
      <c r="C202" t="s">
        <v>482</v>
      </c>
      <c r="D202" t="s">
        <v>17</v>
      </c>
      <c r="E202" t="s">
        <v>17</v>
      </c>
      <c r="F202" t="s">
        <v>17</v>
      </c>
      <c r="G202" t="s">
        <v>17</v>
      </c>
      <c r="H202" t="s">
        <v>477</v>
      </c>
      <c r="I202" s="2">
        <v>6.6</v>
      </c>
      <c r="J202" s="4">
        <v>1134</v>
      </c>
      <c r="K202" s="4">
        <v>123804</v>
      </c>
      <c r="L202" t="s">
        <v>478</v>
      </c>
      <c r="M202" s="4">
        <v>5</v>
      </c>
      <c r="N202" s="4">
        <v>5</v>
      </c>
      <c r="O202" s="6">
        <v>1</v>
      </c>
      <c r="P202">
        <v>3</v>
      </c>
      <c r="Q202">
        <v>2</v>
      </c>
      <c r="R202">
        <v>3</v>
      </c>
      <c r="S202">
        <v>2</v>
      </c>
      <c r="T202" s="2">
        <v>3</v>
      </c>
      <c r="U202" s="2">
        <v>2</v>
      </c>
    </row>
    <row r="203" spans="1:21" ht="12.75">
      <c r="A203">
        <v>11</v>
      </c>
      <c r="B203">
        <v>1</v>
      </c>
      <c r="C203" t="s">
        <v>46</v>
      </c>
      <c r="D203" t="s">
        <v>17</v>
      </c>
      <c r="E203" t="s">
        <v>17</v>
      </c>
      <c r="F203" t="s">
        <v>17</v>
      </c>
      <c r="G203" t="str">
        <f>HYPERLINK("http://www.ensembl.org/Cavia_porcellus/protview?peptide=ENSCPOP00000000043","P00000000043")</f>
        <v>P00000000043</v>
      </c>
      <c r="I203" s="2">
        <v>18.2</v>
      </c>
      <c r="J203" s="4">
        <v>274</v>
      </c>
      <c r="K203" s="4">
        <v>28705</v>
      </c>
      <c r="L203" t="s">
        <v>47</v>
      </c>
      <c r="M203" s="4">
        <v>4</v>
      </c>
      <c r="N203" s="4">
        <v>4</v>
      </c>
      <c r="O203" s="6">
        <v>1</v>
      </c>
      <c r="P203">
        <v>3</v>
      </c>
      <c r="Q203">
        <v>1</v>
      </c>
      <c r="R203">
        <v>3</v>
      </c>
      <c r="S203">
        <v>1</v>
      </c>
      <c r="T203" s="2">
        <v>3</v>
      </c>
      <c r="U203" s="2">
        <v>1</v>
      </c>
    </row>
    <row r="204" spans="1:21" ht="12.75">
      <c r="A204">
        <v>30</v>
      </c>
      <c r="B204">
        <v>1</v>
      </c>
      <c r="C204" t="s">
        <v>90</v>
      </c>
      <c r="D204" t="s">
        <v>17</v>
      </c>
      <c r="E204" t="s">
        <v>17</v>
      </c>
      <c r="F204" t="s">
        <v>17</v>
      </c>
      <c r="G204" t="str">
        <f>HYPERLINK("http://www.ensembl.org/Cavia_porcellus/protview?peptide=ENSCPOP00000002102","P00000002102")</f>
        <v>P00000002102</v>
      </c>
      <c r="I204" s="2">
        <v>7.1</v>
      </c>
      <c r="J204" s="4">
        <v>814</v>
      </c>
      <c r="K204" s="4">
        <v>92085</v>
      </c>
      <c r="L204" t="s">
        <v>91</v>
      </c>
      <c r="M204" s="4">
        <v>4</v>
      </c>
      <c r="N204" s="4">
        <v>4</v>
      </c>
      <c r="O204" s="6">
        <v>1</v>
      </c>
      <c r="P204">
        <v>3</v>
      </c>
      <c r="Q204">
        <v>1</v>
      </c>
      <c r="R204">
        <v>3</v>
      </c>
      <c r="S204">
        <v>1</v>
      </c>
      <c r="T204" s="2">
        <v>3</v>
      </c>
      <c r="U204" s="2">
        <v>1</v>
      </c>
    </row>
    <row r="205" spans="1:21" ht="12.75">
      <c r="A205">
        <v>198</v>
      </c>
      <c r="B205">
        <v>1</v>
      </c>
      <c r="C205" t="s">
        <v>466</v>
      </c>
      <c r="D205" t="s">
        <v>17</v>
      </c>
      <c r="E205" t="s">
        <v>17</v>
      </c>
      <c r="F205" t="s">
        <v>17</v>
      </c>
      <c r="G205" t="str">
        <f>HYPERLINK("http://www.ensembl.org/Cavia_porcellus/protview?peptide=ENSCPOP00000020285","P00000020285")</f>
        <v>P00000020285</v>
      </c>
      <c r="I205" s="2">
        <v>16.6</v>
      </c>
      <c r="J205" s="4">
        <v>271</v>
      </c>
      <c r="K205" s="4">
        <v>31271</v>
      </c>
      <c r="L205" t="s">
        <v>467</v>
      </c>
      <c r="M205" s="4">
        <v>4</v>
      </c>
      <c r="N205" s="4">
        <v>4</v>
      </c>
      <c r="O205" s="6">
        <v>1</v>
      </c>
      <c r="P205">
        <v>3</v>
      </c>
      <c r="Q205">
        <v>1</v>
      </c>
      <c r="R205">
        <v>3</v>
      </c>
      <c r="S205">
        <v>1</v>
      </c>
      <c r="T205" s="2">
        <v>3</v>
      </c>
      <c r="U205" s="2">
        <v>1</v>
      </c>
    </row>
    <row r="206" spans="1:21" ht="12.75">
      <c r="A206">
        <v>212</v>
      </c>
      <c r="B206">
        <v>1</v>
      </c>
      <c r="C206" t="s">
        <v>488</v>
      </c>
      <c r="D206" t="s">
        <v>17</v>
      </c>
      <c r="E206" t="s">
        <v>17</v>
      </c>
      <c r="F206" t="s">
        <v>17</v>
      </c>
      <c r="G206" t="s">
        <v>17</v>
      </c>
      <c r="H206" t="s">
        <v>477</v>
      </c>
      <c r="I206" s="2">
        <v>7.6</v>
      </c>
      <c r="J206" s="4">
        <v>893</v>
      </c>
      <c r="K206" s="4">
        <v>98217</v>
      </c>
      <c r="L206" t="s">
        <v>478</v>
      </c>
      <c r="M206" s="4">
        <v>4</v>
      </c>
      <c r="N206" s="4">
        <v>4</v>
      </c>
      <c r="O206" s="6">
        <v>1</v>
      </c>
      <c r="P206">
        <v>3</v>
      </c>
      <c r="Q206">
        <v>1</v>
      </c>
      <c r="R206">
        <v>3</v>
      </c>
      <c r="S206">
        <v>1</v>
      </c>
      <c r="T206" s="2">
        <v>3</v>
      </c>
      <c r="U206" s="2">
        <v>1</v>
      </c>
    </row>
    <row r="207" spans="1:21" ht="12.75">
      <c r="A207">
        <v>213</v>
      </c>
      <c r="B207">
        <v>1</v>
      </c>
      <c r="C207" t="s">
        <v>489</v>
      </c>
      <c r="D207" t="s">
        <v>17</v>
      </c>
      <c r="E207" t="s">
        <v>17</v>
      </c>
      <c r="F207" t="s">
        <v>17</v>
      </c>
      <c r="G207" t="s">
        <v>17</v>
      </c>
      <c r="H207" t="s">
        <v>477</v>
      </c>
      <c r="I207" s="2">
        <v>2.9</v>
      </c>
      <c r="J207" s="4">
        <v>1741</v>
      </c>
      <c r="K207" s="4">
        <v>202253</v>
      </c>
      <c r="L207" t="s">
        <v>478</v>
      </c>
      <c r="M207" s="4">
        <v>4</v>
      </c>
      <c r="N207" s="4">
        <v>4</v>
      </c>
      <c r="O207" s="6">
        <v>1</v>
      </c>
      <c r="P207">
        <v>3</v>
      </c>
      <c r="Q207">
        <v>1</v>
      </c>
      <c r="R207">
        <v>3</v>
      </c>
      <c r="S207">
        <v>1</v>
      </c>
      <c r="T207" s="2">
        <v>3</v>
      </c>
      <c r="U207" s="2">
        <v>1</v>
      </c>
    </row>
    <row r="208" spans="1:21" ht="12.75">
      <c r="A208">
        <v>216</v>
      </c>
      <c r="B208">
        <v>1</v>
      </c>
      <c r="C208" t="s">
        <v>492</v>
      </c>
      <c r="D208" t="s">
        <v>17</v>
      </c>
      <c r="E208" t="s">
        <v>17</v>
      </c>
      <c r="F208" t="s">
        <v>17</v>
      </c>
      <c r="G208" t="s">
        <v>17</v>
      </c>
      <c r="H208" t="s">
        <v>477</v>
      </c>
      <c r="I208" s="2">
        <v>23.4</v>
      </c>
      <c r="J208" s="4">
        <v>175</v>
      </c>
      <c r="K208" s="4">
        <v>20166</v>
      </c>
      <c r="L208" t="s">
        <v>478</v>
      </c>
      <c r="M208" s="4">
        <v>4</v>
      </c>
      <c r="N208" s="4">
        <v>4</v>
      </c>
      <c r="O208" s="6">
        <v>1</v>
      </c>
      <c r="P208">
        <v>3</v>
      </c>
      <c r="Q208">
        <v>1</v>
      </c>
      <c r="R208">
        <v>3</v>
      </c>
      <c r="S208">
        <v>1</v>
      </c>
      <c r="T208" s="2">
        <v>3</v>
      </c>
      <c r="U208" s="2">
        <v>1</v>
      </c>
    </row>
    <row r="209" spans="1:21" ht="12.75">
      <c r="A209">
        <v>119</v>
      </c>
      <c r="B209">
        <v>1</v>
      </c>
      <c r="C209" t="s">
        <v>288</v>
      </c>
      <c r="D209" t="s">
        <v>17</v>
      </c>
      <c r="E209" t="s">
        <v>17</v>
      </c>
      <c r="F209" t="s">
        <v>17</v>
      </c>
      <c r="G209" t="str">
        <f>HYPERLINK("http://www.ensembl.org/Cavia_porcellus/protview?peptide=ENSCPOP00000010434","P00000010434")</f>
        <v>P00000010434</v>
      </c>
      <c r="I209" s="2">
        <v>5.7</v>
      </c>
      <c r="J209" s="4">
        <v>1136</v>
      </c>
      <c r="K209" s="4">
        <v>122278</v>
      </c>
      <c r="L209" t="s">
        <v>289</v>
      </c>
      <c r="M209" s="4">
        <v>3</v>
      </c>
      <c r="N209" s="4">
        <v>3</v>
      </c>
      <c r="O209" s="6">
        <v>1</v>
      </c>
      <c r="P209">
        <v>3</v>
      </c>
      <c r="Q209">
        <v>0</v>
      </c>
      <c r="R209">
        <v>3</v>
      </c>
      <c r="S209">
        <v>0</v>
      </c>
      <c r="T209" s="2">
        <v>3</v>
      </c>
      <c r="U209" s="2">
        <v>0</v>
      </c>
    </row>
    <row r="210" spans="1:21" ht="12.75">
      <c r="A210">
        <v>193</v>
      </c>
      <c r="B210">
        <v>1</v>
      </c>
      <c r="C210" t="s">
        <v>456</v>
      </c>
      <c r="D210" t="s">
        <v>17</v>
      </c>
      <c r="E210" t="s">
        <v>17</v>
      </c>
      <c r="F210" t="s">
        <v>17</v>
      </c>
      <c r="G210" t="str">
        <f>HYPERLINK("http://www.ensembl.org/Cavia_porcellus/protview?peptide=ENSCPOP00000019558","P00000019558")</f>
        <v>P00000019558</v>
      </c>
      <c r="I210" s="2">
        <v>13.8</v>
      </c>
      <c r="J210" s="4">
        <v>218</v>
      </c>
      <c r="K210" s="4">
        <v>24462</v>
      </c>
      <c r="L210" t="s">
        <v>457</v>
      </c>
      <c r="M210" s="4">
        <v>3</v>
      </c>
      <c r="N210" s="4">
        <v>3</v>
      </c>
      <c r="O210" s="6">
        <v>1</v>
      </c>
      <c r="P210">
        <v>0</v>
      </c>
      <c r="Q210">
        <v>3</v>
      </c>
      <c r="R210">
        <v>0</v>
      </c>
      <c r="S210">
        <v>3</v>
      </c>
      <c r="T210" s="2">
        <v>0</v>
      </c>
      <c r="U210" s="2">
        <v>3</v>
      </c>
    </row>
    <row r="211" spans="1:21" ht="12.75">
      <c r="A211">
        <v>210</v>
      </c>
      <c r="B211">
        <v>1</v>
      </c>
      <c r="C211" t="s">
        <v>486</v>
      </c>
      <c r="D211" t="s">
        <v>17</v>
      </c>
      <c r="E211" t="s">
        <v>17</v>
      </c>
      <c r="F211" t="s">
        <v>17</v>
      </c>
      <c r="G211" t="s">
        <v>17</v>
      </c>
      <c r="H211" t="s">
        <v>477</v>
      </c>
      <c r="I211" s="2">
        <v>3.6</v>
      </c>
      <c r="J211" s="4">
        <v>859</v>
      </c>
      <c r="K211" s="4">
        <v>96767</v>
      </c>
      <c r="L211" t="s">
        <v>478</v>
      </c>
      <c r="M211" s="4">
        <v>3</v>
      </c>
      <c r="N211" s="4">
        <v>3</v>
      </c>
      <c r="O211" s="6">
        <v>1</v>
      </c>
      <c r="P211">
        <v>0</v>
      </c>
      <c r="Q211">
        <v>3</v>
      </c>
      <c r="R211">
        <v>0</v>
      </c>
      <c r="S211">
        <v>3</v>
      </c>
      <c r="T211" s="2">
        <v>0</v>
      </c>
      <c r="U211" s="2">
        <v>3</v>
      </c>
    </row>
    <row r="213" ht="12.75">
      <c r="A213" t="s">
        <v>580</v>
      </c>
    </row>
    <row r="214" spans="1:3" ht="12.75">
      <c r="A214" t="s">
        <v>581</v>
      </c>
      <c r="B214">
        <v>2</v>
      </c>
      <c r="C214" t="s">
        <v>582</v>
      </c>
    </row>
    <row r="215" spans="1:3" ht="12.75">
      <c r="A215" t="s">
        <v>583</v>
      </c>
      <c r="B215">
        <v>2.5</v>
      </c>
      <c r="C215" t="s">
        <v>584</v>
      </c>
    </row>
    <row r="216" spans="1:3" ht="12.75">
      <c r="A216" t="s">
        <v>585</v>
      </c>
      <c r="B216">
        <v>40</v>
      </c>
      <c r="C216" t="s">
        <v>586</v>
      </c>
    </row>
    <row r="217" spans="1:3" ht="12.75">
      <c r="A217" t="s">
        <v>587</v>
      </c>
      <c r="B217">
        <v>20</v>
      </c>
      <c r="C217" t="s">
        <v>588</v>
      </c>
    </row>
    <row r="219" spans="1:2" ht="12.75">
      <c r="A219" t="s">
        <v>589</v>
      </c>
      <c r="B219">
        <v>218</v>
      </c>
    </row>
    <row r="220" spans="1:2" ht="12.75">
      <c r="A220" t="s">
        <v>590</v>
      </c>
      <c r="B220">
        <v>74</v>
      </c>
    </row>
    <row r="221" spans="1:2" ht="12.75">
      <c r="A221" t="s">
        <v>591</v>
      </c>
      <c r="B221">
        <v>63</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J. Giblin</dc:creator>
  <cp:keywords/>
  <dc:description/>
  <cp:lastModifiedBy>giblin</cp:lastModifiedBy>
  <dcterms:created xsi:type="dcterms:W3CDTF">2012-05-03T23:43:08Z</dcterms:created>
  <dcterms:modified xsi:type="dcterms:W3CDTF">2013-01-23T20:49:51Z</dcterms:modified>
  <cp:category/>
  <cp:version/>
  <cp:contentType/>
  <cp:contentStatus/>
</cp:coreProperties>
</file>